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zum-my.sharepoint.com/personal/valeria_casas_o-zum_com/Documents/Documentos/CONAVE 2026 ABBOTT/"/>
    </mc:Choice>
  </mc:AlternateContent>
  <xr:revisionPtr revIDLastSave="0" documentId="8_{70FF5D50-A2C6-4BBD-8483-71E5B9EA8C0B}" xr6:coauthVersionLast="47" xr6:coauthVersionMax="47" xr10:uidLastSave="{00000000-0000-0000-0000-000000000000}"/>
  <bookViews>
    <workbookView xWindow="-108" yWindow="-108" windowWidth="23256" windowHeight="12456" xr2:uid="{410E7E41-BF9E-478E-9D94-FAD1E06B5783}"/>
  </bookViews>
  <sheets>
    <sheet name="RESUMEN" sheetId="18" r:id="rId1"/>
    <sheet name="BARCELO MAYA RIVIERA" sheetId="21" r:id="rId2"/>
    <sheet name="FA CONDESA CANCUN " sheetId="17" r:id="rId3"/>
    <sheet name="HILTON CANCUN" sheetId="1" r:id="rId4"/>
    <sheet name=" AVA CANCUN" sheetId="19" r:id="rId5"/>
    <sheet name="MOON PALACE CANCUN" sheetId="22" r:id="rId6"/>
    <sheet name="PARADISSUS CANCUN " sheetId="25" r:id="rId7"/>
    <sheet name="PARADISSUS PLAYA CARMEN" sheetId="26" r:id="rId8"/>
    <sheet name="OCCIDENTAL ENERO" sheetId="28" r:id="rId9"/>
    <sheet name="OCCIDENTAL FEBRERO" sheetId="27" r:id="rId10"/>
    <sheet name="HILTON TULUM" sheetId="24" r:id="rId11"/>
    <sheet name="GRAND FA LOS CABOS" sheetId="29" r:id="rId12"/>
    <sheet name="HARD ROCK LOS CABOS" sheetId="20" r:id="rId13"/>
    <sheet name="PARADISSUS PALMA REAL" sheetId="23" r:id="rId14"/>
    <sheet name="CUN 01-04 feb" sheetId="30" r:id="rId15"/>
    <sheet name="CUN 18-21 ene" sheetId="31" r:id="rId16"/>
    <sheet name="PUNTACANA 01-04 FEB" sheetId="32" r:id="rId17"/>
    <sheet name="PUNTA CANA 18-21 ENE" sheetId="33" r:id="rId18"/>
    <sheet name="LOS CABOS 01-04 FEB" sheetId="34" r:id="rId19"/>
    <sheet name="LOS CABOS 18-21 ENE" sheetId="35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___________________________________________________________________________KEY1" hidden="1">#REF!</definedName>
    <definedName name="_____________________________________________________________________________KEY1" hidden="1">#REF!</definedName>
    <definedName name="____________________________________________________________________________KEY1" hidden="1">#REF!</definedName>
    <definedName name="___________________________________________________________________________KEY1" hidden="1">#REF!</definedName>
    <definedName name="__________________________________________________________________________KEY1" hidden="1">#REF!</definedName>
    <definedName name="_________________________________________________________________________KEY1" hidden="1">#REF!</definedName>
    <definedName name="________________________________________________________________________KEY1" hidden="1">#REF!</definedName>
    <definedName name="_______________________________________________________________________KEY1" hidden="1">#REF!</definedName>
    <definedName name="______________________________________________________________________KEY1" hidden="1">#REF!</definedName>
    <definedName name="_____________________________________________________________________KEY1" hidden="1">#REF!</definedName>
    <definedName name="____________________________________________________________________KEY1" hidden="1">#REF!</definedName>
    <definedName name="___________________________________________________________________KEY1" hidden="1">#REF!</definedName>
    <definedName name="__________________________________________________________________KEY1" hidden="1">#REF!</definedName>
    <definedName name="_________________________________________________________________KEY1" hidden="1">#REF!</definedName>
    <definedName name="________________________________________________________________KEY1" hidden="1">#REF!</definedName>
    <definedName name="_______________________________________________________________KEY1" hidden="1">#REF!</definedName>
    <definedName name="______________________________________________________________KEY1" hidden="1">#REF!</definedName>
    <definedName name="_____________________________________________________________KEY1" hidden="1">#REF!</definedName>
    <definedName name="____________________________________________________________KEY1" hidden="1">#REF!</definedName>
    <definedName name="___________________________________________________________KEY1" hidden="1">#REF!</definedName>
    <definedName name="__________________________________________________________KEY1" hidden="1">#REF!</definedName>
    <definedName name="_________________________________________________________KEY1" hidden="1">#REF!</definedName>
    <definedName name="________________________________________________________KEY1" hidden="1">#REF!</definedName>
    <definedName name="_______________________________________________________KEY1" hidden="1">#REF!</definedName>
    <definedName name="______________________________________________________KEY1" hidden="1">#REF!</definedName>
    <definedName name="_____________________________________________________KEY1" hidden="1">#REF!</definedName>
    <definedName name="____________________________________________________KEY1" hidden="1">#REF!</definedName>
    <definedName name="___________________________________________________KEY1" hidden="1">#REF!</definedName>
    <definedName name="__________________________________________________KEY1" hidden="1">#REF!</definedName>
    <definedName name="_________________________________________________KEY1" hidden="1">#REF!</definedName>
    <definedName name="________________________________________________KEY1" hidden="1">#REF!</definedName>
    <definedName name="_______________________________________________KEY1" hidden="1">#REF!</definedName>
    <definedName name="______________________________________________KEY1" hidden="1">#REF!</definedName>
    <definedName name="_____________________________________________KEY1" hidden="1">#REF!</definedName>
    <definedName name="____________________________________________KEY1" hidden="1">#REF!</definedName>
    <definedName name="___________________________________________KEY1" hidden="1">#REF!</definedName>
    <definedName name="__________________________________________KEY1" hidden="1">#REF!</definedName>
    <definedName name="_________________________________________KEY1" hidden="1">#REF!</definedName>
    <definedName name="________________________________________KEY1" hidden="1">#REF!</definedName>
    <definedName name="_______________________________________KEY1" hidden="1">#REF!</definedName>
    <definedName name="______________________________________KEY1" hidden="1">#REF!</definedName>
    <definedName name="_____________________________________KEY1" hidden="1">#REF!</definedName>
    <definedName name="____________________________________KEY1" hidden="1">#REF!</definedName>
    <definedName name="___________________________________KEY1" hidden="1">#REF!</definedName>
    <definedName name="__________________________________KEY1" hidden="1">#REF!</definedName>
    <definedName name="_________________________________KEY1" hidden="1">#REF!</definedName>
    <definedName name="________________________________KEY1" hidden="1">#REF!</definedName>
    <definedName name="_______________________________KEY1" hidden="1">#REF!</definedName>
    <definedName name="______________________________KEY1" hidden="1">#REF!</definedName>
    <definedName name="_____________________________KEY1" hidden="1">#REF!</definedName>
    <definedName name="____________________________KEY1" hidden="1">#REF!</definedName>
    <definedName name="___________________________KEY1" hidden="1">#REF!</definedName>
    <definedName name="__________________________KEY1" hidden="1">#REF!</definedName>
    <definedName name="_________________________KEY1" hidden="1">#REF!</definedName>
    <definedName name="________________________KEY1" hidden="1">#REF!</definedName>
    <definedName name="_______________________KEY1" hidden="1">#REF!</definedName>
    <definedName name="______________________KEY1" hidden="1">#REF!</definedName>
    <definedName name="_____________________KEY1" hidden="1">#REF!</definedName>
    <definedName name="____________________KEY1" hidden="1">#REF!</definedName>
    <definedName name="___________________KEY1" hidden="1">#REF!</definedName>
    <definedName name="__________________KEY1" hidden="1">#REF!</definedName>
    <definedName name="_________________KEY1" hidden="1">#REF!</definedName>
    <definedName name="________________KEY1" hidden="1">#REF!</definedName>
    <definedName name="_______________KEY1" hidden="1">#REF!</definedName>
    <definedName name="______________KEY1" hidden="1">#REF!</definedName>
    <definedName name="_____________KEY1" hidden="1">#REF!</definedName>
    <definedName name="____________KEY1" hidden="1">#REF!</definedName>
    <definedName name="___________KEY1" hidden="1">#REF!</definedName>
    <definedName name="__________KEY1" hidden="1">#REF!</definedName>
    <definedName name="_________KEY1" hidden="1">#REF!</definedName>
    <definedName name="________KEY1" hidden="1">#REF!</definedName>
    <definedName name="_______KEY1" hidden="1">#REF!</definedName>
    <definedName name="______KEY1" hidden="1">#REF!</definedName>
    <definedName name="_____KEY1" hidden="1">#REF!</definedName>
    <definedName name="____KEY1" hidden="1">#REF!</definedName>
    <definedName name="___KEY1" hidden="1">#REF!</definedName>
    <definedName name="__1234" hidden="1">#REF!</definedName>
    <definedName name="__123Graph_ACHART" hidden="1">#REF!</definedName>
    <definedName name="__123Graph_ACHART2" hidden="1">#REF!</definedName>
    <definedName name="__123Graph_BCHART" hidden="1">#REF!</definedName>
    <definedName name="__123Graph_BCHART2" hidden="1">#REF!</definedName>
    <definedName name="__123Graph_CCHART" hidden="1">#REF!</definedName>
    <definedName name="__123Graph_CCHART2" hidden="1">#REF!</definedName>
    <definedName name="__123Graph_DCHART" hidden="1">#REF!</definedName>
    <definedName name="__123Graph_DCHART2" hidden="1">#REF!</definedName>
    <definedName name="__123Graph_ECHART" hidden="1">#REF!</definedName>
    <definedName name="__123Graph_ECHART2" hidden="1">#REF!</definedName>
    <definedName name="__123Graph_FCHART" hidden="1">#REF!</definedName>
    <definedName name="__123Graph_FCHART2" hidden="1">#REF!</definedName>
    <definedName name="__KEY1" hidden="1">#REF!</definedName>
    <definedName name="_27_de_marzo_de_2001">#REF!</definedName>
    <definedName name="_Fill" hidden="1">#REF!</definedName>
    <definedName name="_xlnm._FilterDatabase" localSheetId="14" hidden="1">'CUN 01-04 feb'!$A$8:$BF$49</definedName>
    <definedName name="_xlnm._FilterDatabase" localSheetId="15" hidden="1">'CUN 18-21 ene'!$A$8:$BF$49</definedName>
    <definedName name="_xlnm._FilterDatabase" localSheetId="16" hidden="1">'PUNTACANA 01-04 FEB'!$A$8:$BF$49</definedName>
    <definedName name="_xlnm._FilterDatabase" localSheetId="17" hidden="1">'PUNTA CANA 18-21 ENE'!$A$8:$BF$49</definedName>
    <definedName name="_xlnm._FilterDatabase" localSheetId="18" hidden="1">'LOS CABOS 01-04 FEB'!$A$8:$BF$49</definedName>
    <definedName name="_xlnm._FilterDatabase" localSheetId="19" hidden="1">'LOS CABOS 18-21 ENE'!$A$8:$BF$49</definedName>
    <definedName name="_FOR10">#REF!</definedName>
    <definedName name="_FOR6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PRO1">#REF!</definedName>
    <definedName name="_Sort" hidden="1">#REF!</definedName>
    <definedName name="a">#REF!</definedName>
    <definedName name="AA">#REF!</definedName>
    <definedName name="AAA">[1]CLENT!#REF!</definedName>
    <definedName name="accesorios">#REF!</definedName>
    <definedName name="AcctList">[2]DataCompile!$A$23:$A$27</definedName>
    <definedName name="ACHART" hidden="1">#REF!</definedName>
    <definedName name="actividades">[3]OI!$A$2:$A$1049</definedName>
    <definedName name="ActualRange">[2]DataCompile!$B$19:$Z$19</definedName>
    <definedName name="AFNAME">#REF!</definedName>
    <definedName name="alimentos">#REF!</definedName>
    <definedName name="ANEXO">#REF!</definedName>
    <definedName name="Año">[4]Data!$A$40:$A$133</definedName>
    <definedName name="ANSA" hidden="1">#REF!</definedName>
    <definedName name="as">#REF!</definedName>
    <definedName name="aseguramiento">#REF!</definedName>
    <definedName name="asiste">#REF!</definedName>
    <definedName name="asisten">#REF!</definedName>
    <definedName name="Asistente">#REF!</definedName>
    <definedName name="ASPFactor">[2]DataCompile!$B$34</definedName>
    <definedName name="AU">#REF!</definedName>
    <definedName name="audio">#REF!</definedName>
    <definedName name="AVI" hidden="1">#REF!</definedName>
    <definedName name="BCHART" hidden="1">#REF!</definedName>
    <definedName name="BLANK.ROW">#REF!</definedName>
    <definedName name="caracte">#REF!</definedName>
    <definedName name="CARACTERISTICAS">#REF!</definedName>
    <definedName name="CARAT">#REF!</definedName>
    <definedName name="Cargo">[4]Data!$D$27:$D$31</definedName>
    <definedName name="catering">#REF!</definedName>
    <definedName name="CCHART" hidden="1">#REF!</definedName>
    <definedName name="CCHART2" hidden="1">#REF!</definedName>
    <definedName name="cctv">#REF!</definedName>
    <definedName name="Cerebro">#REF!</definedName>
    <definedName name="Cerebro_Emp">#REF!</definedName>
    <definedName name="CHC">#REF!</definedName>
    <definedName name="CHECSNEPU">'[5]CH ESC CSNEPU'!$1:$1048576</definedName>
    <definedName name="CHEICA">'[5]CH ESC ICA'!$1:$1048576</definedName>
    <definedName name="ciudades">[6]Ciudades!$A$1:$D$4627</definedName>
    <definedName name="clasifedecanes">#REF!</definedName>
    <definedName name="CODIGOS">[7]EF!$B$124:$B$149</definedName>
    <definedName name="COH">#REF!</definedName>
    <definedName name="colgado">#REF!</definedName>
    <definedName name="COMBUST">#REF!</definedName>
    <definedName name="COMPA">#REF!</definedName>
    <definedName name="computo">#REF!</definedName>
    <definedName name="_xlnm.Criteria">#REF!</definedName>
    <definedName name="CurMonth_Num">[2]DataCompile!$B$51</definedName>
    <definedName name="CurrMonth">[2]DataCompile!$B$50</definedName>
    <definedName name="Cycle">[2]DataCompile!$B$41</definedName>
    <definedName name="D">[8]REFERENCIAS!$U$2:$U$3</definedName>
    <definedName name="data">#REF!</definedName>
    <definedName name="_xlnm.Database">[2]DataCompile!$B$29</definedName>
    <definedName name="DateRange">[2]DataCompile!$B$7:$Z$7</definedName>
    <definedName name="DateSaved">[2]DataCompile!$B$90</definedName>
    <definedName name="DATOS">#REF!</definedName>
    <definedName name="DCHART" hidden="1">#REF!</definedName>
    <definedName name="DI">#REF!</definedName>
    <definedName name="Dia">[4]Data!$B$40:$B$71</definedName>
    <definedName name="didacticos">#REF!</definedName>
    <definedName name="didi1963">#REF!</definedName>
    <definedName name="difusion">#REF!</definedName>
    <definedName name="DISEÑADORES">#REF!</definedName>
    <definedName name="DISEÑADORES1">#REF!</definedName>
    <definedName name="display">#REF!</definedName>
    <definedName name="DISPT">#REF!</definedName>
    <definedName name="ECHART" hidden="1">#REF!</definedName>
    <definedName name="ELIMINAR" hidden="1">#REF!</definedName>
    <definedName name="elmotivode" hidden="1">#REF!</definedName>
    <definedName name="estimado">#REF!</definedName>
    <definedName name="eva">#REF!</definedName>
    <definedName name="evento">#REF!</definedName>
    <definedName name="eventos">#REF!</definedName>
    <definedName name="FCHART" hidden="1">#REF!</definedName>
    <definedName name="FILL" hidden="1">#REF!</definedName>
    <definedName name="floreria">#REF!</definedName>
    <definedName name="ForecastRange">[2]DataCompile!$AB$9:$AK$9</definedName>
    <definedName name="formato">#REF!</definedName>
    <definedName name="graficos">#REF!</definedName>
    <definedName name="GROUP">[1]CLENT!$E$3</definedName>
    <definedName name="HOLA" hidden="1">#REF!</definedName>
    <definedName name="iluminacion">#REF!</definedName>
    <definedName name="IMP">#REF!</definedName>
    <definedName name="impresiones">#REF!</definedName>
    <definedName name="inflables">#REF!</definedName>
    <definedName name="ISLA">#REF!</definedName>
    <definedName name="juegosferia">#REF!</definedName>
    <definedName name="jujujujuu" hidden="1">#REF!</definedName>
    <definedName name="Juntas_de_trabajo" localSheetId="15">tipoevento</definedName>
    <definedName name="Juntas_de_trabajo" localSheetId="16">tipoevento</definedName>
    <definedName name="Juntas_de_trabajo" localSheetId="17">tipoevento</definedName>
    <definedName name="Juntas_de_trabajo" localSheetId="18">tipoevento</definedName>
    <definedName name="Juntas_de_trabajo" localSheetId="19">tipoevento</definedName>
    <definedName name="Juntas_de_trabajo">tipoevento</definedName>
    <definedName name="KII">[9]OI!$A$2:$A$1049</definedName>
    <definedName name="kukukukuku">#REF!</definedName>
    <definedName name="las">[6]LAS!$A$1:$D$689</definedName>
    <definedName name="LIST">#REF!</definedName>
    <definedName name="LO" hidden="1">#REF!</definedName>
    <definedName name="luz">#REF!</definedName>
    <definedName name="MANO">#REF!</definedName>
    <definedName name="MAQ">#REF!</definedName>
    <definedName name="maquillaje">#REF!</definedName>
    <definedName name="MAQUINA">#REF!</definedName>
    <definedName name="MAQUINAS">#REF!</definedName>
    <definedName name="Master_Gus">#REF!</definedName>
    <definedName name="Master_PP">#REF!</definedName>
    <definedName name="Master_PP2">#REF!</definedName>
    <definedName name="MATERIALES">#REF!</definedName>
    <definedName name="medicos">#REF!</definedName>
    <definedName name="MEDIDAS">#REF!</definedName>
    <definedName name="medios">#REF!</definedName>
    <definedName name="memorias">#REF!</definedName>
    <definedName name="mensajeria">#REF!</definedName>
    <definedName name="Merchandise">[1]CLENT!#REF!</definedName>
    <definedName name="Mes">[4]Data!$C$40:$C$52</definedName>
    <definedName name="MO">#REF!</definedName>
    <definedName name="mobiliario">#REF!</definedName>
    <definedName name="Moneda">[4]Data!$E$27:$E$29</definedName>
    <definedName name="No_Laborales">'[10]IT Consecutivo'!$U$3:$U$18</definedName>
    <definedName name="numasist">#REF!</definedName>
    <definedName name="OAXACA">[11]Base!$1:$1048576</definedName>
    <definedName name="Opción" localSheetId="15">videpproyeccion</definedName>
    <definedName name="Opción" localSheetId="16">videpproyeccion</definedName>
    <definedName name="Opción" localSheetId="17">videpproyeccion</definedName>
    <definedName name="Opción" localSheetId="18">videpproyeccion</definedName>
    <definedName name="Opción" localSheetId="19">videpproyeccion</definedName>
    <definedName name="Opción">videpproyeccion</definedName>
    <definedName name="ORGCODE">#REF!</definedName>
    <definedName name="OrgDrill">[2]OrgDrill!$C$1:$H$9</definedName>
    <definedName name="otrosservicios">#REF!</definedName>
    <definedName name="P04AUPLD">#REF!</definedName>
    <definedName name="P05AUPLD">#REF!</definedName>
    <definedName name="P07AUPLD">#REF!</definedName>
    <definedName name="P07AUPLD2">#REF!</definedName>
    <definedName name="papirotecnia">#REF!</definedName>
    <definedName name="Participantes">[4]Data!$D$40:$D$3040</definedName>
    <definedName name="Phone">[1]CLENT!#REF!</definedName>
    <definedName name="pirotecnia">#REF!</definedName>
    <definedName name="PL">#REF!</definedName>
    <definedName name="PlanData">[2]DataCompile!$B$88</definedName>
    <definedName name="PlanLine">[2]DataCompile!$B$89</definedName>
    <definedName name="PLEXT">#REF!</definedName>
    <definedName name="PRESUPUESTO">#REF!</definedName>
    <definedName name="Presupuestoelenco">#REF!</definedName>
    <definedName name="PRO">#REF!</definedName>
    <definedName name="ProdDrill">[2]ProdDrill!$A$1:$H$4</definedName>
    <definedName name="produccion">#REF!</definedName>
    <definedName name="PRODUCTOS">#REF!</definedName>
    <definedName name="promocionales">#REF!</definedName>
    <definedName name="proyectoejecutivo">#REF!</definedName>
    <definedName name="PRP07A">#REF!</definedName>
    <definedName name="PRP07H">#REF!</definedName>
    <definedName name="PRP4A1">#REF!</definedName>
    <definedName name="PRP4A2">#REF!</definedName>
    <definedName name="PRP4A3">#REF!</definedName>
    <definedName name="PRP4A4">#REF!</definedName>
    <definedName name="PRP4A5">#REF!</definedName>
    <definedName name="PRP4H1">#REF!</definedName>
    <definedName name="PRP4H2">#REF!</definedName>
    <definedName name="PRP4H3">#REF!</definedName>
    <definedName name="PRP4H4">#REF!</definedName>
    <definedName name="PRP4H5">#REF!</definedName>
    <definedName name="PTP04A">#REF!</definedName>
    <definedName name="PTP04H">#REF!</definedName>
    <definedName name="q" hidden="1">#REF!</definedName>
    <definedName name="QWL">#REF!</definedName>
    <definedName name="REC">#REF!</definedName>
    <definedName name="Refresh">[2]DataCompile!$B$55</definedName>
    <definedName name="registro">#REF!</definedName>
    <definedName name="requiere">#REF!</definedName>
    <definedName name="RESPUESTAS">#REF!</definedName>
    <definedName name="roomin">#REF!</definedName>
    <definedName name="RP04A">#REF!</definedName>
    <definedName name="RP04H">#REF!</definedName>
    <definedName name="RP07A">#REF!</definedName>
    <definedName name="RP07H">#REF!</definedName>
    <definedName name="RPTYR">#REF!</definedName>
    <definedName name="salasprensa">#REF!</definedName>
    <definedName name="sanitarios">#REF!</definedName>
    <definedName name="Scouting">#REF!</definedName>
    <definedName name="SCTIPO">#REF!</definedName>
    <definedName name="Security">[2]DataCompile!$B$33</definedName>
    <definedName name="seguridad">#REF!</definedName>
    <definedName name="señaletica">#REF!</definedName>
    <definedName name="señalizacion">#REF!</definedName>
    <definedName name="serviciosapoyo">#REF!</definedName>
    <definedName name="serviciospublicos">#REF!</definedName>
    <definedName name="sexo">#REF!</definedName>
    <definedName name="SORT" hidden="1">#REF!</definedName>
    <definedName name="STATUS_EMP">#REF!</definedName>
    <definedName name="Talento">#REF!</definedName>
    <definedName name="telecomunicaciones">#REF!</definedName>
    <definedName name="TER">#REF!</definedName>
    <definedName name="TIPO">#REF!</definedName>
    <definedName name="Tipo_evento">#REF!</definedName>
    <definedName name="TIPO1">#REF!</definedName>
    <definedName name="TIPO2">#REF!</definedName>
    <definedName name="TP04A">#REF!</definedName>
    <definedName name="TP07A">#REF!</definedName>
    <definedName name="TRA">#REF!</definedName>
    <definedName name="transportepesado">#REF!</definedName>
    <definedName name="UBICACION">#REF!</definedName>
    <definedName name="ULTI">#REF!</definedName>
    <definedName name="UpdateLine">[2]DataCompile!$B$91</definedName>
    <definedName name="VAR">[2]DataCompile!$C$42:$C$47</definedName>
    <definedName name="vestuario">#REF!</definedName>
    <definedName name="videoproyeccion">#REF!</definedName>
    <definedName name="WF">#REF!</definedName>
    <definedName name="X">#REF!</definedName>
    <definedName name="XX" localSheetId="15">videpproyeccion</definedName>
    <definedName name="XX" localSheetId="16">videpproyeccion</definedName>
    <definedName name="XX" localSheetId="17">videpproyeccion</definedName>
    <definedName name="XX" localSheetId="18">videpproyeccion</definedName>
    <definedName name="XX" localSheetId="19">videpproyeccion</definedName>
    <definedName name="XX">videpproyeccion</definedName>
    <definedName name="yo.yo.yo" hidden="1">#REF!</definedName>
    <definedName name="yoqueporque">#REF!</definedName>
    <definedName name="youy24" hidden="1">#REF!</definedName>
    <definedName name="YOYOYOYYOYO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9" i="21" l="1"/>
  <c r="H109" i="21"/>
  <c r="I109" i="21"/>
  <c r="J109" i="21"/>
  <c r="F110" i="21"/>
  <c r="I110" i="21"/>
  <c r="J110" i="21"/>
  <c r="F113" i="17"/>
  <c r="H113" i="17"/>
  <c r="I113" i="17"/>
  <c r="J113" i="17"/>
  <c r="F114" i="17"/>
  <c r="I114" i="17"/>
  <c r="J114" i="17"/>
  <c r="F108" i="1"/>
  <c r="H108" i="1"/>
  <c r="I108" i="1"/>
  <c r="J108" i="1"/>
  <c r="F109" i="1"/>
  <c r="I109" i="1"/>
  <c r="J109" i="1"/>
  <c r="F102" i="19"/>
  <c r="H102" i="19"/>
  <c r="I102" i="19"/>
  <c r="J102" i="19"/>
  <c r="F103" i="19"/>
  <c r="I103" i="19"/>
  <c r="J103" i="19"/>
  <c r="F97" i="22"/>
  <c r="H97" i="22"/>
  <c r="I97" i="22"/>
  <c r="J97" i="22"/>
  <c r="F98" i="22"/>
  <c r="I98" i="22"/>
  <c r="J98" i="22"/>
  <c r="F105" i="25"/>
  <c r="H105" i="25"/>
  <c r="I105" i="25"/>
  <c r="J105" i="25"/>
  <c r="F106" i="25"/>
  <c r="I106" i="25"/>
  <c r="J106" i="25"/>
  <c r="F107" i="25"/>
  <c r="I107" i="25"/>
  <c r="J107" i="25"/>
  <c r="F99" i="26"/>
  <c r="H99" i="26"/>
  <c r="I99" i="26"/>
  <c r="J99" i="26"/>
  <c r="F100" i="26"/>
  <c r="I100" i="26"/>
  <c r="J100" i="26"/>
  <c r="F102" i="28"/>
  <c r="H102" i="28"/>
  <c r="I102" i="28"/>
  <c r="J102" i="28"/>
  <c r="F103" i="28"/>
  <c r="I103" i="28"/>
  <c r="J103" i="28"/>
  <c r="F102" i="27"/>
  <c r="H102" i="27"/>
  <c r="I102" i="27"/>
  <c r="J102" i="27"/>
  <c r="F103" i="27"/>
  <c r="I103" i="27"/>
  <c r="J103" i="27"/>
  <c r="H101" i="24"/>
  <c r="F102" i="24"/>
  <c r="I101" i="24"/>
  <c r="F92" i="29"/>
  <c r="H92" i="29"/>
  <c r="I92" i="29"/>
  <c r="J92" i="29"/>
  <c r="F93" i="29"/>
  <c r="I93" i="29"/>
  <c r="J93" i="29"/>
  <c r="J103" i="20"/>
  <c r="I103" i="20"/>
  <c r="F103" i="20"/>
  <c r="H102" i="20"/>
  <c r="I102" i="20"/>
  <c r="J93" i="23"/>
  <c r="I93" i="23"/>
  <c r="F93" i="23"/>
  <c r="H92" i="23"/>
  <c r="I92" i="23"/>
  <c r="F26" i="28"/>
  <c r="G26" i="28"/>
  <c r="H26" i="28"/>
  <c r="I26" i="28"/>
  <c r="J26" i="28"/>
  <c r="H63" i="23"/>
  <c r="G63" i="23"/>
  <c r="G23" i="23"/>
  <c r="H23" i="23"/>
  <c r="F23" i="23"/>
  <c r="I23" i="23" s="1"/>
  <c r="J23" i="23"/>
  <c r="F30" i="20"/>
  <c r="G30" i="20"/>
  <c r="H30" i="20"/>
  <c r="I30" i="20"/>
  <c r="J30" i="20"/>
  <c r="G26" i="29"/>
  <c r="H26" i="29"/>
  <c r="F26" i="29"/>
  <c r="I26" i="29" s="1"/>
  <c r="J26" i="29"/>
  <c r="F26" i="24"/>
  <c r="G26" i="24"/>
  <c r="H26" i="24"/>
  <c r="I26" i="24"/>
  <c r="J26" i="24"/>
  <c r="F26" i="27"/>
  <c r="G26" i="27"/>
  <c r="H26" i="27"/>
  <c r="I26" i="27"/>
  <c r="J26" i="27"/>
  <c r="F26" i="26"/>
  <c r="G26" i="26"/>
  <c r="H26" i="26"/>
  <c r="I26" i="26"/>
  <c r="J26" i="26"/>
  <c r="G23" i="22"/>
  <c r="H23" i="22"/>
  <c r="F26" i="25"/>
  <c r="G26" i="25"/>
  <c r="H26" i="25"/>
  <c r="I26" i="25"/>
  <c r="J26" i="25"/>
  <c r="F23" i="22"/>
  <c r="I23" i="22" s="1"/>
  <c r="J23" i="22" s="1"/>
  <c r="F26" i="19"/>
  <c r="G26" i="19"/>
  <c r="H26" i="19"/>
  <c r="I26" i="19"/>
  <c r="J26" i="19"/>
  <c r="F26" i="1"/>
  <c r="G26" i="1"/>
  <c r="H26" i="1"/>
  <c r="I26" i="1"/>
  <c r="J26" i="1"/>
  <c r="F26" i="17"/>
  <c r="G26" i="17"/>
  <c r="H26" i="17"/>
  <c r="I26" i="17"/>
  <c r="J26" i="17"/>
  <c r="F26" i="21"/>
  <c r="G26" i="21"/>
  <c r="H26" i="21"/>
  <c r="I26" i="21"/>
  <c r="AO71" i="35"/>
  <c r="AP71" i="35"/>
  <c r="AQ71" i="35"/>
  <c r="AR71" i="35"/>
  <c r="AS71" i="35"/>
  <c r="AT71" i="35"/>
  <c r="AU71" i="35"/>
  <c r="AO72" i="35"/>
  <c r="AP72" i="35"/>
  <c r="AQ72" i="35"/>
  <c r="AR72" i="35"/>
  <c r="AS72" i="35"/>
  <c r="AT72" i="35"/>
  <c r="AU72" i="35"/>
  <c r="AO73" i="35"/>
  <c r="AP73" i="35"/>
  <c r="AQ73" i="35"/>
  <c r="AR73" i="35"/>
  <c r="AS73" i="35"/>
  <c r="AT73" i="35"/>
  <c r="AU73" i="35"/>
  <c r="AU77" i="35" s="1"/>
  <c r="AU55" i="35"/>
  <c r="AO56" i="35"/>
  <c r="AP56" i="35"/>
  <c r="AQ56" i="35"/>
  <c r="AR56" i="35"/>
  <c r="AS56" i="35"/>
  <c r="AT56" i="35"/>
  <c r="AU56" i="35"/>
  <c r="AR60" i="35"/>
  <c r="AT60" i="35"/>
  <c r="AU60" i="35"/>
  <c r="AR61" i="35"/>
  <c r="AT61" i="35"/>
  <c r="AU61" i="35"/>
  <c r="AU62" i="35"/>
  <c r="AO63" i="35"/>
  <c r="AO76" i="35" s="1"/>
  <c r="AP63" i="35"/>
  <c r="AP76" i="35" s="1"/>
  <c r="AQ63" i="35"/>
  <c r="AQ76" i="35" s="1"/>
  <c r="AR63" i="35"/>
  <c r="AR76" i="35" s="1"/>
  <c r="AS63" i="35"/>
  <c r="AS76" i="35" s="1"/>
  <c r="AT63" i="35"/>
  <c r="AT76" i="35" s="1"/>
  <c r="AU63" i="35"/>
  <c r="AU76" i="35" s="1"/>
  <c r="AO9" i="35"/>
  <c r="AP9" i="35"/>
  <c r="AQ9" i="35"/>
  <c r="AR9" i="35"/>
  <c r="AS9" i="35"/>
  <c r="AT9" i="35"/>
  <c r="AU9" i="35"/>
  <c r="AO10" i="35"/>
  <c r="AP10" i="35"/>
  <c r="AQ10" i="35"/>
  <c r="AR10" i="35"/>
  <c r="AS10" i="35"/>
  <c r="AT10" i="35"/>
  <c r="AU10" i="35"/>
  <c r="AO11" i="35"/>
  <c r="AP11" i="35"/>
  <c r="AQ11" i="35"/>
  <c r="AR11" i="35"/>
  <c r="AS11" i="35"/>
  <c r="AT11" i="35"/>
  <c r="AU11" i="35"/>
  <c r="AO12" i="35"/>
  <c r="AP12" i="35"/>
  <c r="AQ12" i="35"/>
  <c r="AR12" i="35"/>
  <c r="AS12" i="35"/>
  <c r="AT12" i="35"/>
  <c r="AU12" i="35"/>
  <c r="AO13" i="35"/>
  <c r="AP13" i="35"/>
  <c r="AQ13" i="35"/>
  <c r="AR13" i="35"/>
  <c r="AS13" i="35"/>
  <c r="AT13" i="35"/>
  <c r="AU13" i="35"/>
  <c r="AO14" i="35"/>
  <c r="AP14" i="35"/>
  <c r="AQ14" i="35"/>
  <c r="AR14" i="35"/>
  <c r="AS14" i="35"/>
  <c r="AT14" i="35"/>
  <c r="AU14" i="35"/>
  <c r="AO15" i="35"/>
  <c r="AP15" i="35"/>
  <c r="AQ15" i="35"/>
  <c r="AR15" i="35"/>
  <c r="AS15" i="35"/>
  <c r="AT15" i="35"/>
  <c r="AU15" i="35"/>
  <c r="AO16" i="35"/>
  <c r="AP16" i="35"/>
  <c r="AQ16" i="35"/>
  <c r="AR16" i="35"/>
  <c r="AS16" i="35"/>
  <c r="AT16" i="35"/>
  <c r="AU16" i="35"/>
  <c r="AO17" i="35"/>
  <c r="AP17" i="35"/>
  <c r="AQ17" i="35"/>
  <c r="AR17" i="35"/>
  <c r="AS17" i="35"/>
  <c r="AT17" i="35"/>
  <c r="AU17" i="35"/>
  <c r="AO18" i="35"/>
  <c r="AP18" i="35"/>
  <c r="AQ18" i="35"/>
  <c r="AR18" i="35"/>
  <c r="AS18" i="35"/>
  <c r="AT18" i="35"/>
  <c r="AU18" i="35"/>
  <c r="AO19" i="35"/>
  <c r="AP19" i="35"/>
  <c r="AQ19" i="35"/>
  <c r="AR19" i="35"/>
  <c r="AS19" i="35"/>
  <c r="AT19" i="35"/>
  <c r="AU19" i="35"/>
  <c r="AO20" i="35"/>
  <c r="AP20" i="35"/>
  <c r="AQ20" i="35"/>
  <c r="AR20" i="35"/>
  <c r="AS20" i="35"/>
  <c r="AT20" i="35"/>
  <c r="AU20" i="35"/>
  <c r="AO21" i="35"/>
  <c r="AP21" i="35"/>
  <c r="AQ21" i="35"/>
  <c r="AR21" i="35"/>
  <c r="AS21" i="35"/>
  <c r="AT21" i="35"/>
  <c r="AU21" i="35"/>
  <c r="AO22" i="35"/>
  <c r="AP22" i="35"/>
  <c r="AQ22" i="35"/>
  <c r="AR22" i="35"/>
  <c r="AS22" i="35"/>
  <c r="AT22" i="35"/>
  <c r="AU22" i="35"/>
  <c r="B23" i="35"/>
  <c r="AO23" i="35"/>
  <c r="AP23" i="35"/>
  <c r="AQ23" i="35"/>
  <c r="AR23" i="35"/>
  <c r="AS23" i="35"/>
  <c r="AT23" i="35"/>
  <c r="AU23" i="35"/>
  <c r="AO24" i="35"/>
  <c r="AP24" i="35"/>
  <c r="AQ24" i="35"/>
  <c r="AR24" i="35"/>
  <c r="AS24" i="35"/>
  <c r="AT24" i="35"/>
  <c r="AU24" i="35"/>
  <c r="AO25" i="35"/>
  <c r="AP25" i="35"/>
  <c r="AQ25" i="35"/>
  <c r="AR25" i="35"/>
  <c r="AS25" i="35"/>
  <c r="AT25" i="35"/>
  <c r="AU25" i="35"/>
  <c r="AO26" i="35"/>
  <c r="AP26" i="35"/>
  <c r="AQ26" i="35"/>
  <c r="AR26" i="35"/>
  <c r="AS26" i="35"/>
  <c r="AT26" i="35"/>
  <c r="AU26" i="35"/>
  <c r="AO27" i="35"/>
  <c r="AP27" i="35"/>
  <c r="AQ27" i="35"/>
  <c r="AR27" i="35"/>
  <c r="AS27" i="35"/>
  <c r="AT27" i="35"/>
  <c r="AU27" i="35"/>
  <c r="AO28" i="35"/>
  <c r="AP28" i="35"/>
  <c r="AQ28" i="35"/>
  <c r="AR28" i="35"/>
  <c r="AS28" i="35"/>
  <c r="AT28" i="35"/>
  <c r="AU28" i="35"/>
  <c r="AO29" i="35"/>
  <c r="AP29" i="35"/>
  <c r="AQ29" i="35"/>
  <c r="AR29" i="35"/>
  <c r="AS29" i="35"/>
  <c r="AT29" i="35"/>
  <c r="AU29" i="35"/>
  <c r="AO30" i="35"/>
  <c r="AP30" i="35"/>
  <c r="AQ30" i="35"/>
  <c r="AR30" i="35"/>
  <c r="AS30" i="35"/>
  <c r="AT30" i="35"/>
  <c r="AU30" i="35"/>
  <c r="AO31" i="35"/>
  <c r="AP31" i="35"/>
  <c r="AQ31" i="35"/>
  <c r="AR31" i="35"/>
  <c r="AS31" i="35"/>
  <c r="AT31" i="35"/>
  <c r="AU31" i="35"/>
  <c r="AO32" i="35"/>
  <c r="AP32" i="35"/>
  <c r="AQ32" i="35"/>
  <c r="AR32" i="35"/>
  <c r="AS32" i="35"/>
  <c r="AT32" i="35"/>
  <c r="AU32" i="35"/>
  <c r="AO33" i="35"/>
  <c r="AP33" i="35"/>
  <c r="AQ33" i="35"/>
  <c r="AR33" i="35"/>
  <c r="AS33" i="35"/>
  <c r="AT33" i="35"/>
  <c r="AU33" i="35"/>
  <c r="AO34" i="35"/>
  <c r="AP34" i="35"/>
  <c r="AQ34" i="35"/>
  <c r="AR34" i="35"/>
  <c r="AS34" i="35"/>
  <c r="AT34" i="35"/>
  <c r="AU34" i="35"/>
  <c r="AO35" i="35"/>
  <c r="AP35" i="35"/>
  <c r="AQ35" i="35"/>
  <c r="AR35" i="35"/>
  <c r="AS35" i="35"/>
  <c r="AT35" i="35"/>
  <c r="AU35" i="35"/>
  <c r="AO36" i="35"/>
  <c r="AP36" i="35"/>
  <c r="AQ36" i="35"/>
  <c r="AR36" i="35"/>
  <c r="AS36" i="35"/>
  <c r="AT36" i="35"/>
  <c r="AU36" i="35"/>
  <c r="AO37" i="35"/>
  <c r="AP37" i="35"/>
  <c r="AQ37" i="35"/>
  <c r="AR37" i="35"/>
  <c r="AS37" i="35"/>
  <c r="AT37" i="35"/>
  <c r="AU37" i="35"/>
  <c r="AO38" i="35"/>
  <c r="AP38" i="35"/>
  <c r="AQ38" i="35"/>
  <c r="AR38" i="35"/>
  <c r="AS38" i="35"/>
  <c r="AT38" i="35"/>
  <c r="AU38" i="35"/>
  <c r="AO39" i="35"/>
  <c r="AP39" i="35"/>
  <c r="AQ39" i="35"/>
  <c r="AR39" i="35"/>
  <c r="AS39" i="35"/>
  <c r="AT39" i="35"/>
  <c r="AU39" i="35"/>
  <c r="AO40" i="35"/>
  <c r="AP40" i="35"/>
  <c r="AQ40" i="35"/>
  <c r="AR40" i="35"/>
  <c r="AS40" i="35"/>
  <c r="AT40" i="35"/>
  <c r="AU40" i="35"/>
  <c r="AO41" i="35"/>
  <c r="AP41" i="35"/>
  <c r="AQ41" i="35"/>
  <c r="AR41" i="35"/>
  <c r="AS41" i="35"/>
  <c r="AT41" i="35"/>
  <c r="AU41" i="35"/>
  <c r="AO42" i="35"/>
  <c r="AP42" i="35"/>
  <c r="AQ42" i="35"/>
  <c r="AR42" i="35"/>
  <c r="AS42" i="35"/>
  <c r="AT42" i="35"/>
  <c r="AU42" i="35"/>
  <c r="AO43" i="35"/>
  <c r="AP43" i="35"/>
  <c r="AQ43" i="35"/>
  <c r="AR43" i="35"/>
  <c r="AS43" i="35"/>
  <c r="AT43" i="35"/>
  <c r="AU43" i="35"/>
  <c r="AO44" i="35"/>
  <c r="AP44" i="35"/>
  <c r="AQ44" i="35"/>
  <c r="AR44" i="35"/>
  <c r="AS44" i="35"/>
  <c r="AT44" i="35"/>
  <c r="AU44" i="35"/>
  <c r="AO45" i="35"/>
  <c r="AP45" i="35"/>
  <c r="AQ45" i="35"/>
  <c r="AR45" i="35"/>
  <c r="AS45" i="35"/>
  <c r="AT45" i="35"/>
  <c r="AU45" i="35"/>
  <c r="AO46" i="35"/>
  <c r="AP46" i="35"/>
  <c r="AQ46" i="35"/>
  <c r="AR46" i="35"/>
  <c r="AS46" i="35"/>
  <c r="AT46" i="35"/>
  <c r="AU46" i="35"/>
  <c r="AO47" i="35"/>
  <c r="AP47" i="35"/>
  <c r="AQ47" i="35"/>
  <c r="AR47" i="35"/>
  <c r="AS47" i="35"/>
  <c r="AT47" i="35"/>
  <c r="AU47" i="35"/>
  <c r="AO48" i="35"/>
  <c r="AP48" i="35"/>
  <c r="AQ48" i="35"/>
  <c r="AR48" i="35"/>
  <c r="AS48" i="35"/>
  <c r="AT48" i="35"/>
  <c r="AU48" i="35"/>
  <c r="AO49" i="35"/>
  <c r="AP49" i="35"/>
  <c r="AQ49" i="35"/>
  <c r="AR49" i="35"/>
  <c r="AS49" i="35"/>
  <c r="AT49" i="35"/>
  <c r="AU49" i="35"/>
  <c r="AO71" i="34"/>
  <c r="AP71" i="34"/>
  <c r="AQ71" i="34"/>
  <c r="AR71" i="34"/>
  <c r="AS71" i="34"/>
  <c r="AT71" i="34"/>
  <c r="AU71" i="34"/>
  <c r="AO72" i="34"/>
  <c r="AP72" i="34"/>
  <c r="AQ72" i="34"/>
  <c r="AR72" i="34"/>
  <c r="AS72" i="34"/>
  <c r="AT72" i="34"/>
  <c r="AU72" i="34"/>
  <c r="AO73" i="34"/>
  <c r="AP73" i="34"/>
  <c r="AQ73" i="34"/>
  <c r="AR73" i="34"/>
  <c r="AS73" i="34"/>
  <c r="AT73" i="34"/>
  <c r="AU73" i="34"/>
  <c r="AU77" i="34" s="1"/>
  <c r="AU55" i="34"/>
  <c r="AO56" i="34"/>
  <c r="AP56" i="34"/>
  <c r="AQ56" i="34"/>
  <c r="AR56" i="34"/>
  <c r="AS56" i="34"/>
  <c r="AT56" i="34"/>
  <c r="AU56" i="34"/>
  <c r="AR60" i="34"/>
  <c r="AT60" i="34"/>
  <c r="AU60" i="34"/>
  <c r="AR61" i="34"/>
  <c r="AT61" i="34"/>
  <c r="AU61" i="34"/>
  <c r="AU62" i="34"/>
  <c r="AO63" i="34"/>
  <c r="AO76" i="34" s="1"/>
  <c r="AP63" i="34"/>
  <c r="AP76" i="34" s="1"/>
  <c r="AQ63" i="34"/>
  <c r="AQ76" i="34" s="1"/>
  <c r="AR63" i="34"/>
  <c r="AR76" i="34" s="1"/>
  <c r="AS63" i="34"/>
  <c r="AS76" i="34" s="1"/>
  <c r="AT63" i="34"/>
  <c r="AT76" i="34" s="1"/>
  <c r="AU63" i="34"/>
  <c r="AU76" i="34" s="1"/>
  <c r="AO9" i="34"/>
  <c r="AP9" i="34"/>
  <c r="AQ9" i="34"/>
  <c r="AR9" i="34"/>
  <c r="AS9" i="34"/>
  <c r="AT9" i="34"/>
  <c r="AU9" i="34"/>
  <c r="AO10" i="34"/>
  <c r="AP10" i="34"/>
  <c r="AQ10" i="34"/>
  <c r="AR10" i="34"/>
  <c r="AS10" i="34"/>
  <c r="AT10" i="34"/>
  <c r="AU10" i="34"/>
  <c r="AO11" i="34"/>
  <c r="AP11" i="34"/>
  <c r="AQ11" i="34"/>
  <c r="AR11" i="34"/>
  <c r="AS11" i="34"/>
  <c r="AT11" i="34"/>
  <c r="AU11" i="34"/>
  <c r="AO12" i="34"/>
  <c r="AP12" i="34"/>
  <c r="AQ12" i="34"/>
  <c r="AR12" i="34"/>
  <c r="AS12" i="34"/>
  <c r="AT12" i="34"/>
  <c r="AU12" i="34"/>
  <c r="AO13" i="34"/>
  <c r="AP13" i="34"/>
  <c r="AQ13" i="34"/>
  <c r="AR13" i="34"/>
  <c r="AS13" i="34"/>
  <c r="AT13" i="34"/>
  <c r="AU13" i="34"/>
  <c r="AO14" i="34"/>
  <c r="AP14" i="34"/>
  <c r="AQ14" i="34"/>
  <c r="AR14" i="34"/>
  <c r="AS14" i="34"/>
  <c r="AT14" i="34"/>
  <c r="AU14" i="34"/>
  <c r="AO15" i="34"/>
  <c r="AP15" i="34"/>
  <c r="AQ15" i="34"/>
  <c r="AR15" i="34"/>
  <c r="AS15" i="34"/>
  <c r="AT15" i="34"/>
  <c r="AU15" i="34"/>
  <c r="AO16" i="34"/>
  <c r="AP16" i="34"/>
  <c r="AQ16" i="34"/>
  <c r="AR16" i="34"/>
  <c r="AS16" i="34"/>
  <c r="AT16" i="34"/>
  <c r="AU16" i="34"/>
  <c r="AO17" i="34"/>
  <c r="AP17" i="34"/>
  <c r="AQ17" i="34"/>
  <c r="AR17" i="34"/>
  <c r="AS17" i="34"/>
  <c r="AT17" i="34"/>
  <c r="AU17" i="34"/>
  <c r="AO18" i="34"/>
  <c r="AP18" i="34"/>
  <c r="AQ18" i="34"/>
  <c r="AR18" i="34"/>
  <c r="AS18" i="34"/>
  <c r="AT18" i="34"/>
  <c r="AU18" i="34"/>
  <c r="AO19" i="34"/>
  <c r="AP19" i="34"/>
  <c r="AQ19" i="34"/>
  <c r="AR19" i="34"/>
  <c r="AS19" i="34"/>
  <c r="AT19" i="34"/>
  <c r="AU19" i="34"/>
  <c r="AO20" i="34"/>
  <c r="AP20" i="34"/>
  <c r="AQ20" i="34"/>
  <c r="AR20" i="34"/>
  <c r="AS20" i="34"/>
  <c r="AT20" i="34"/>
  <c r="AU20" i="34"/>
  <c r="AO21" i="34"/>
  <c r="AP21" i="34"/>
  <c r="AQ21" i="34"/>
  <c r="AR21" i="34"/>
  <c r="AS21" i="34"/>
  <c r="AT21" i="34"/>
  <c r="AU21" i="34"/>
  <c r="AO22" i="34"/>
  <c r="AP22" i="34"/>
  <c r="AQ22" i="34"/>
  <c r="AR22" i="34"/>
  <c r="AS22" i="34"/>
  <c r="AT22" i="34"/>
  <c r="AU22" i="34"/>
  <c r="B23" i="34"/>
  <c r="AO23" i="34"/>
  <c r="AP23" i="34"/>
  <c r="AQ23" i="34"/>
  <c r="AR23" i="34"/>
  <c r="AS23" i="34"/>
  <c r="AT23" i="34"/>
  <c r="AU23" i="34"/>
  <c r="AO24" i="34"/>
  <c r="AP24" i="34"/>
  <c r="AQ24" i="34"/>
  <c r="AR24" i="34"/>
  <c r="AS24" i="34"/>
  <c r="AT24" i="34"/>
  <c r="AU24" i="34"/>
  <c r="AO25" i="34"/>
  <c r="AP25" i="34"/>
  <c r="AQ25" i="34"/>
  <c r="AR25" i="34"/>
  <c r="AS25" i="34"/>
  <c r="AT25" i="34"/>
  <c r="AU25" i="34"/>
  <c r="AO26" i="34"/>
  <c r="AP26" i="34"/>
  <c r="AQ26" i="34"/>
  <c r="AR26" i="34"/>
  <c r="AS26" i="34"/>
  <c r="AT26" i="34"/>
  <c r="AU26" i="34"/>
  <c r="AO27" i="34"/>
  <c r="AP27" i="34"/>
  <c r="AQ27" i="34"/>
  <c r="AR27" i="34"/>
  <c r="AS27" i="34"/>
  <c r="AT27" i="34"/>
  <c r="AU27" i="34"/>
  <c r="AO28" i="34"/>
  <c r="AP28" i="34"/>
  <c r="AQ28" i="34"/>
  <c r="AR28" i="34"/>
  <c r="AS28" i="34"/>
  <c r="AT28" i="34"/>
  <c r="AU28" i="34"/>
  <c r="AO29" i="34"/>
  <c r="AP29" i="34"/>
  <c r="AQ29" i="34"/>
  <c r="AR29" i="34"/>
  <c r="AS29" i="34"/>
  <c r="AT29" i="34"/>
  <c r="AU29" i="34"/>
  <c r="AO30" i="34"/>
  <c r="AP30" i="34"/>
  <c r="AQ30" i="34"/>
  <c r="AR30" i="34"/>
  <c r="AS30" i="34"/>
  <c r="AT30" i="34"/>
  <c r="AU30" i="34"/>
  <c r="AO31" i="34"/>
  <c r="AP31" i="34"/>
  <c r="AQ31" i="34"/>
  <c r="AR31" i="34"/>
  <c r="AS31" i="34"/>
  <c r="AT31" i="34"/>
  <c r="AU31" i="34"/>
  <c r="AO32" i="34"/>
  <c r="AP32" i="34"/>
  <c r="AQ32" i="34"/>
  <c r="AR32" i="34"/>
  <c r="AS32" i="34"/>
  <c r="AT32" i="34"/>
  <c r="AU32" i="34"/>
  <c r="AO33" i="34"/>
  <c r="AP33" i="34"/>
  <c r="AQ33" i="34"/>
  <c r="AR33" i="34"/>
  <c r="AS33" i="34"/>
  <c r="AT33" i="34"/>
  <c r="AU33" i="34"/>
  <c r="AO34" i="34"/>
  <c r="AP34" i="34"/>
  <c r="AQ34" i="34"/>
  <c r="AR34" i="34"/>
  <c r="AS34" i="34"/>
  <c r="AT34" i="34"/>
  <c r="AU34" i="34"/>
  <c r="AO35" i="34"/>
  <c r="AP35" i="34"/>
  <c r="AQ35" i="34"/>
  <c r="AR35" i="34"/>
  <c r="AS35" i="34"/>
  <c r="AT35" i="34"/>
  <c r="AU35" i="34"/>
  <c r="AO36" i="34"/>
  <c r="AP36" i="34"/>
  <c r="AQ36" i="34"/>
  <c r="AR36" i="34"/>
  <c r="AS36" i="34"/>
  <c r="AT36" i="34"/>
  <c r="AU36" i="34"/>
  <c r="AO37" i="34"/>
  <c r="AP37" i="34"/>
  <c r="AQ37" i="34"/>
  <c r="AR37" i="34"/>
  <c r="AS37" i="34"/>
  <c r="AT37" i="34"/>
  <c r="AU37" i="34"/>
  <c r="AO38" i="34"/>
  <c r="AP38" i="34"/>
  <c r="AQ38" i="34"/>
  <c r="AR38" i="34"/>
  <c r="AS38" i="34"/>
  <c r="AT38" i="34"/>
  <c r="AU38" i="34"/>
  <c r="AO39" i="34"/>
  <c r="AP39" i="34"/>
  <c r="AQ39" i="34"/>
  <c r="AR39" i="34"/>
  <c r="AS39" i="34"/>
  <c r="AT39" i="34"/>
  <c r="AU39" i="34"/>
  <c r="AO40" i="34"/>
  <c r="AP40" i="34"/>
  <c r="AQ40" i="34"/>
  <c r="AR40" i="34"/>
  <c r="AS40" i="34"/>
  <c r="AT40" i="34"/>
  <c r="AU40" i="34"/>
  <c r="AO41" i="34"/>
  <c r="AP41" i="34"/>
  <c r="AQ41" i="34"/>
  <c r="AR41" i="34"/>
  <c r="AS41" i="34"/>
  <c r="AT41" i="34"/>
  <c r="AU41" i="34"/>
  <c r="AO42" i="34"/>
  <c r="AP42" i="34"/>
  <c r="AQ42" i="34"/>
  <c r="AR42" i="34"/>
  <c r="AS42" i="34"/>
  <c r="AT42" i="34"/>
  <c r="AU42" i="34"/>
  <c r="AO43" i="34"/>
  <c r="AP43" i="34"/>
  <c r="AQ43" i="34"/>
  <c r="AR43" i="34"/>
  <c r="AS43" i="34"/>
  <c r="AT43" i="34"/>
  <c r="AU43" i="34"/>
  <c r="AO44" i="34"/>
  <c r="AP44" i="34"/>
  <c r="AQ44" i="34"/>
  <c r="AR44" i="34"/>
  <c r="AS44" i="34"/>
  <c r="AT44" i="34"/>
  <c r="AU44" i="34"/>
  <c r="AO45" i="34"/>
  <c r="AP45" i="34"/>
  <c r="AQ45" i="34"/>
  <c r="AR45" i="34"/>
  <c r="AS45" i="34"/>
  <c r="AT45" i="34"/>
  <c r="AU45" i="34"/>
  <c r="AO46" i="34"/>
  <c r="AP46" i="34"/>
  <c r="AQ46" i="34"/>
  <c r="AR46" i="34"/>
  <c r="AS46" i="34"/>
  <c r="AT46" i="34"/>
  <c r="AU46" i="34"/>
  <c r="AO47" i="34"/>
  <c r="AP47" i="34"/>
  <c r="AQ47" i="34"/>
  <c r="AR47" i="34"/>
  <c r="AS47" i="34"/>
  <c r="AT47" i="34"/>
  <c r="AU47" i="34"/>
  <c r="AO48" i="34"/>
  <c r="AP48" i="34"/>
  <c r="AQ48" i="34"/>
  <c r="AR48" i="34"/>
  <c r="AS48" i="34"/>
  <c r="AT48" i="34"/>
  <c r="AU48" i="34"/>
  <c r="AO49" i="34"/>
  <c r="AP49" i="34"/>
  <c r="AQ49" i="34"/>
  <c r="AR49" i="34"/>
  <c r="AS49" i="34"/>
  <c r="AT49" i="34"/>
  <c r="AU49" i="34"/>
  <c r="AO70" i="33"/>
  <c r="AP70" i="33"/>
  <c r="AQ70" i="33"/>
  <c r="AR70" i="33"/>
  <c r="AS70" i="33"/>
  <c r="AT70" i="33"/>
  <c r="AU70" i="33"/>
  <c r="AO71" i="33"/>
  <c r="AP71" i="33"/>
  <c r="AQ71" i="33"/>
  <c r="AR71" i="33"/>
  <c r="AS71" i="33"/>
  <c r="AT71" i="33"/>
  <c r="AU71" i="33"/>
  <c r="AO72" i="33"/>
  <c r="AP72" i="33"/>
  <c r="AQ72" i="33"/>
  <c r="AR72" i="33"/>
  <c r="AS72" i="33"/>
  <c r="AT72" i="33"/>
  <c r="AU72" i="33"/>
  <c r="AU76" i="33" s="1"/>
  <c r="AU55" i="33"/>
  <c r="AO56" i="33"/>
  <c r="AP56" i="33"/>
  <c r="AQ56" i="33"/>
  <c r="AR56" i="33"/>
  <c r="AS56" i="33"/>
  <c r="AT56" i="33"/>
  <c r="AU56" i="33"/>
  <c r="AR60" i="33"/>
  <c r="AT60" i="33"/>
  <c r="AU60" i="33"/>
  <c r="AR61" i="33"/>
  <c r="AT61" i="33"/>
  <c r="AU61" i="33"/>
  <c r="AO62" i="33"/>
  <c r="AO75" i="33" s="1"/>
  <c r="AP62" i="33"/>
  <c r="AP75" i="33" s="1"/>
  <c r="AQ62" i="33"/>
  <c r="AQ75" i="33" s="1"/>
  <c r="AR62" i="33"/>
  <c r="AR75" i="33" s="1"/>
  <c r="AS62" i="33"/>
  <c r="AS75" i="33" s="1"/>
  <c r="AT62" i="33"/>
  <c r="AT75" i="33" s="1"/>
  <c r="AU62" i="33"/>
  <c r="AU75" i="33" s="1"/>
  <c r="AO9" i="33"/>
  <c r="AP9" i="33"/>
  <c r="AQ9" i="33"/>
  <c r="AR9" i="33"/>
  <c r="AS9" i="33"/>
  <c r="AT9" i="33"/>
  <c r="AU9" i="33"/>
  <c r="AO10" i="33"/>
  <c r="AP10" i="33"/>
  <c r="AQ10" i="33"/>
  <c r="AR10" i="33"/>
  <c r="AS10" i="33"/>
  <c r="AT10" i="33"/>
  <c r="AU10" i="33"/>
  <c r="AO11" i="33"/>
  <c r="AP11" i="33"/>
  <c r="AQ11" i="33"/>
  <c r="AR11" i="33"/>
  <c r="AS11" i="33"/>
  <c r="AT11" i="33"/>
  <c r="AU11" i="33"/>
  <c r="AO12" i="33"/>
  <c r="AP12" i="33"/>
  <c r="AQ12" i="33"/>
  <c r="AR12" i="33"/>
  <c r="AS12" i="33"/>
  <c r="AT12" i="33"/>
  <c r="AU12" i="33"/>
  <c r="AO13" i="33"/>
  <c r="AP13" i="33"/>
  <c r="AQ13" i="33"/>
  <c r="AR13" i="33"/>
  <c r="AS13" i="33"/>
  <c r="AT13" i="33"/>
  <c r="AU13" i="33"/>
  <c r="AO14" i="33"/>
  <c r="AP14" i="33"/>
  <c r="AQ14" i="33"/>
  <c r="AR14" i="33"/>
  <c r="AS14" i="33"/>
  <c r="AT14" i="33"/>
  <c r="AU14" i="33"/>
  <c r="AO15" i="33"/>
  <c r="AP15" i="33"/>
  <c r="AQ15" i="33"/>
  <c r="AR15" i="33"/>
  <c r="AS15" i="33"/>
  <c r="AT15" i="33"/>
  <c r="AU15" i="33"/>
  <c r="AO16" i="33"/>
  <c r="AP16" i="33"/>
  <c r="AQ16" i="33"/>
  <c r="AR16" i="33"/>
  <c r="AS16" i="33"/>
  <c r="AT16" i="33"/>
  <c r="AU16" i="33"/>
  <c r="AO17" i="33"/>
  <c r="AP17" i="33"/>
  <c r="AQ17" i="33"/>
  <c r="AR17" i="33"/>
  <c r="AS17" i="33"/>
  <c r="AT17" i="33"/>
  <c r="AU17" i="33"/>
  <c r="AO18" i="33"/>
  <c r="AP18" i="33"/>
  <c r="AQ18" i="33"/>
  <c r="AR18" i="33"/>
  <c r="AS18" i="33"/>
  <c r="AT18" i="33"/>
  <c r="AU18" i="33"/>
  <c r="AO19" i="33"/>
  <c r="AP19" i="33"/>
  <c r="AQ19" i="33"/>
  <c r="AR19" i="33"/>
  <c r="AS19" i="33"/>
  <c r="AT19" i="33"/>
  <c r="AU19" i="33"/>
  <c r="AO20" i="33"/>
  <c r="AP20" i="33"/>
  <c r="AQ20" i="33"/>
  <c r="AR20" i="33"/>
  <c r="AS20" i="33"/>
  <c r="AT20" i="33"/>
  <c r="AU20" i="33"/>
  <c r="AO21" i="33"/>
  <c r="AP21" i="33"/>
  <c r="AQ21" i="33"/>
  <c r="AR21" i="33"/>
  <c r="AS21" i="33"/>
  <c r="AT21" i="33"/>
  <c r="AU21" i="33"/>
  <c r="AO22" i="33"/>
  <c r="AP22" i="33"/>
  <c r="AQ22" i="33"/>
  <c r="AR22" i="33"/>
  <c r="AS22" i="33"/>
  <c r="AT22" i="33"/>
  <c r="AU22" i="33"/>
  <c r="B23" i="33"/>
  <c r="AO23" i="33"/>
  <c r="AP23" i="33"/>
  <c r="AQ23" i="33"/>
  <c r="AR23" i="33"/>
  <c r="AS23" i="33"/>
  <c r="AT23" i="33"/>
  <c r="AU23" i="33"/>
  <c r="AO24" i="33"/>
  <c r="AP24" i="33"/>
  <c r="AQ24" i="33"/>
  <c r="AR24" i="33"/>
  <c r="AS24" i="33"/>
  <c r="AT24" i="33"/>
  <c r="AU24" i="33"/>
  <c r="AO25" i="33"/>
  <c r="AP25" i="33"/>
  <c r="AQ25" i="33"/>
  <c r="AR25" i="33"/>
  <c r="AS25" i="33"/>
  <c r="AT25" i="33"/>
  <c r="AU25" i="33"/>
  <c r="AO26" i="33"/>
  <c r="AP26" i="33"/>
  <c r="AQ26" i="33"/>
  <c r="AR26" i="33"/>
  <c r="AS26" i="33"/>
  <c r="AT26" i="33"/>
  <c r="AU26" i="33"/>
  <c r="AO27" i="33"/>
  <c r="AP27" i="33"/>
  <c r="AQ27" i="33"/>
  <c r="AR27" i="33"/>
  <c r="AS27" i="33"/>
  <c r="AT27" i="33"/>
  <c r="AU27" i="33"/>
  <c r="AO28" i="33"/>
  <c r="AP28" i="33"/>
  <c r="AQ28" i="33"/>
  <c r="AR28" i="33"/>
  <c r="AS28" i="33"/>
  <c r="AT28" i="33"/>
  <c r="AU28" i="33"/>
  <c r="AO29" i="33"/>
  <c r="AP29" i="33"/>
  <c r="AQ29" i="33"/>
  <c r="AR29" i="33"/>
  <c r="AS29" i="33"/>
  <c r="AT29" i="33"/>
  <c r="AU29" i="33"/>
  <c r="AO30" i="33"/>
  <c r="AP30" i="33"/>
  <c r="AQ30" i="33"/>
  <c r="AR30" i="33"/>
  <c r="AS30" i="33"/>
  <c r="AT30" i="33"/>
  <c r="AU30" i="33"/>
  <c r="AO31" i="33"/>
  <c r="AP31" i="33"/>
  <c r="AQ31" i="33"/>
  <c r="AR31" i="33"/>
  <c r="AS31" i="33"/>
  <c r="AT31" i="33"/>
  <c r="AU31" i="33"/>
  <c r="AO32" i="33"/>
  <c r="AP32" i="33"/>
  <c r="AQ32" i="33"/>
  <c r="AR32" i="33"/>
  <c r="AS32" i="33"/>
  <c r="AT32" i="33"/>
  <c r="AU32" i="33"/>
  <c r="AO33" i="33"/>
  <c r="AP33" i="33"/>
  <c r="AQ33" i="33"/>
  <c r="AR33" i="33"/>
  <c r="AS33" i="33"/>
  <c r="AT33" i="33"/>
  <c r="AU33" i="33"/>
  <c r="AO34" i="33"/>
  <c r="AP34" i="33"/>
  <c r="AQ34" i="33"/>
  <c r="AR34" i="33"/>
  <c r="AS34" i="33"/>
  <c r="AT34" i="33"/>
  <c r="AU34" i="33"/>
  <c r="AO35" i="33"/>
  <c r="AP35" i="33"/>
  <c r="AQ35" i="33"/>
  <c r="AR35" i="33"/>
  <c r="AS35" i="33"/>
  <c r="AT35" i="33"/>
  <c r="AU35" i="33"/>
  <c r="AO36" i="33"/>
  <c r="AP36" i="33"/>
  <c r="AQ36" i="33"/>
  <c r="AR36" i="33"/>
  <c r="AS36" i="33"/>
  <c r="AT36" i="33"/>
  <c r="AU36" i="33"/>
  <c r="AO37" i="33"/>
  <c r="AP37" i="33"/>
  <c r="AQ37" i="33"/>
  <c r="AR37" i="33"/>
  <c r="AS37" i="33"/>
  <c r="AT37" i="33"/>
  <c r="AU37" i="33"/>
  <c r="AO38" i="33"/>
  <c r="AP38" i="33"/>
  <c r="AQ38" i="33"/>
  <c r="AR38" i="33"/>
  <c r="AS38" i="33"/>
  <c r="AT38" i="33"/>
  <c r="AU38" i="33"/>
  <c r="AO39" i="33"/>
  <c r="AP39" i="33"/>
  <c r="AQ39" i="33"/>
  <c r="AR39" i="33"/>
  <c r="AS39" i="33"/>
  <c r="AT39" i="33"/>
  <c r="AU39" i="33"/>
  <c r="AO40" i="33"/>
  <c r="AP40" i="33"/>
  <c r="AQ40" i="33"/>
  <c r="AR40" i="33"/>
  <c r="AS40" i="33"/>
  <c r="AT40" i="33"/>
  <c r="AU40" i="33"/>
  <c r="AO41" i="33"/>
  <c r="AP41" i="33"/>
  <c r="AQ41" i="33"/>
  <c r="AR41" i="33"/>
  <c r="AS41" i="33"/>
  <c r="AT41" i="33"/>
  <c r="AU41" i="33"/>
  <c r="AO42" i="33"/>
  <c r="AP42" i="33"/>
  <c r="AQ42" i="33"/>
  <c r="AR42" i="33"/>
  <c r="AS42" i="33"/>
  <c r="AT42" i="33"/>
  <c r="AU42" i="33"/>
  <c r="AO43" i="33"/>
  <c r="AP43" i="33"/>
  <c r="AQ43" i="33"/>
  <c r="AR43" i="33"/>
  <c r="AS43" i="33"/>
  <c r="AT43" i="33"/>
  <c r="AU43" i="33"/>
  <c r="AO44" i="33"/>
  <c r="AP44" i="33"/>
  <c r="AQ44" i="33"/>
  <c r="AR44" i="33"/>
  <c r="AS44" i="33"/>
  <c r="AT44" i="33"/>
  <c r="AU44" i="33"/>
  <c r="AO45" i="33"/>
  <c r="AP45" i="33"/>
  <c r="AQ45" i="33"/>
  <c r="AR45" i="33"/>
  <c r="AS45" i="33"/>
  <c r="AT45" i="33"/>
  <c r="AU45" i="33"/>
  <c r="AO46" i="33"/>
  <c r="AP46" i="33"/>
  <c r="AQ46" i="33"/>
  <c r="AR46" i="33"/>
  <c r="AS46" i="33"/>
  <c r="AT46" i="33"/>
  <c r="AU46" i="33"/>
  <c r="AO47" i="33"/>
  <c r="AP47" i="33"/>
  <c r="AQ47" i="33"/>
  <c r="AR47" i="33"/>
  <c r="AS47" i="33"/>
  <c r="AT47" i="33"/>
  <c r="AU47" i="33"/>
  <c r="AO48" i="33"/>
  <c r="AP48" i="33"/>
  <c r="AQ48" i="33"/>
  <c r="AR48" i="33"/>
  <c r="AS48" i="33"/>
  <c r="AT48" i="33"/>
  <c r="AU48" i="33"/>
  <c r="AO49" i="33"/>
  <c r="AP49" i="33"/>
  <c r="AQ49" i="33"/>
  <c r="AR49" i="33"/>
  <c r="AS49" i="33"/>
  <c r="AT49" i="33"/>
  <c r="AU49" i="33"/>
  <c r="AO70" i="32"/>
  <c r="AP70" i="32"/>
  <c r="AQ70" i="32"/>
  <c r="AR70" i="32"/>
  <c r="AS70" i="32"/>
  <c r="AT70" i="32"/>
  <c r="AU70" i="32"/>
  <c r="AW70" i="32"/>
  <c r="AX70" i="32"/>
  <c r="AY70" i="32"/>
  <c r="AZ70" i="32"/>
  <c r="AO71" i="32"/>
  <c r="AP71" i="32"/>
  <c r="AQ71" i="32"/>
  <c r="AR71" i="32"/>
  <c r="AS71" i="32"/>
  <c r="AT71" i="32"/>
  <c r="AU71" i="32"/>
  <c r="AW71" i="32"/>
  <c r="AX71" i="32"/>
  <c r="AY71" i="32"/>
  <c r="AZ71" i="32"/>
  <c r="AO72" i="32"/>
  <c r="AP72" i="32"/>
  <c r="AQ72" i="32"/>
  <c r="AR72" i="32"/>
  <c r="AS72" i="32"/>
  <c r="AT72" i="32"/>
  <c r="AU72" i="32"/>
  <c r="AU76" i="32" s="1"/>
  <c r="AU55" i="32"/>
  <c r="AO56" i="32"/>
  <c r="AP56" i="32"/>
  <c r="AQ56" i="32"/>
  <c r="AR56" i="32"/>
  <c r="AS56" i="32"/>
  <c r="AT56" i="32"/>
  <c r="AU56" i="32"/>
  <c r="AR60" i="32"/>
  <c r="AT60" i="32"/>
  <c r="AU60" i="32"/>
  <c r="AR61" i="32"/>
  <c r="AT61" i="32"/>
  <c r="AU61" i="32"/>
  <c r="AO62" i="32"/>
  <c r="AO75" i="32" s="1"/>
  <c r="AP62" i="32"/>
  <c r="AP75" i="32" s="1"/>
  <c r="AQ62" i="32"/>
  <c r="AQ75" i="32" s="1"/>
  <c r="AR62" i="32"/>
  <c r="AR75" i="32" s="1"/>
  <c r="AS62" i="32"/>
  <c r="AS75" i="32" s="1"/>
  <c r="AT62" i="32"/>
  <c r="AT75" i="32" s="1"/>
  <c r="AU62" i="32"/>
  <c r="AU75" i="32" s="1"/>
  <c r="AO9" i="32"/>
  <c r="AP9" i="32"/>
  <c r="AQ9" i="32"/>
  <c r="AR9" i="32"/>
  <c r="AS9" i="32"/>
  <c r="AT9" i="32"/>
  <c r="AU9" i="32"/>
  <c r="AO10" i="32"/>
  <c r="AP10" i="32"/>
  <c r="AQ10" i="32"/>
  <c r="AR10" i="32"/>
  <c r="AS10" i="32"/>
  <c r="AT10" i="32"/>
  <c r="AU10" i="32"/>
  <c r="AO11" i="32"/>
  <c r="AP11" i="32"/>
  <c r="AQ11" i="32"/>
  <c r="AR11" i="32"/>
  <c r="AS11" i="32"/>
  <c r="AT11" i="32"/>
  <c r="AU11" i="32"/>
  <c r="AO12" i="32"/>
  <c r="AP12" i="32"/>
  <c r="AQ12" i="32"/>
  <c r="AR12" i="32"/>
  <c r="AS12" i="32"/>
  <c r="AT12" i="32"/>
  <c r="AU12" i="32"/>
  <c r="AO13" i="32"/>
  <c r="AP13" i="32"/>
  <c r="AQ13" i="32"/>
  <c r="AR13" i="32"/>
  <c r="AS13" i="32"/>
  <c r="AT13" i="32"/>
  <c r="AU13" i="32"/>
  <c r="AO14" i="32"/>
  <c r="AP14" i="32"/>
  <c r="AQ14" i="32"/>
  <c r="AR14" i="32"/>
  <c r="AS14" i="32"/>
  <c r="AT14" i="32"/>
  <c r="AU14" i="32"/>
  <c r="AO15" i="32"/>
  <c r="AP15" i="32"/>
  <c r="AQ15" i="32"/>
  <c r="AR15" i="32"/>
  <c r="AS15" i="32"/>
  <c r="AT15" i="32"/>
  <c r="AU15" i="32"/>
  <c r="AO16" i="32"/>
  <c r="AP16" i="32"/>
  <c r="AQ16" i="32"/>
  <c r="AR16" i="32"/>
  <c r="AS16" i="32"/>
  <c r="AT16" i="32"/>
  <c r="AU16" i="32"/>
  <c r="AO17" i="32"/>
  <c r="AP17" i="32"/>
  <c r="AQ17" i="32"/>
  <c r="AR17" i="32"/>
  <c r="AS17" i="32"/>
  <c r="AT17" i="32"/>
  <c r="AU17" i="32"/>
  <c r="AO18" i="32"/>
  <c r="AP18" i="32"/>
  <c r="AQ18" i="32"/>
  <c r="AR18" i="32"/>
  <c r="AS18" i="32"/>
  <c r="AT18" i="32"/>
  <c r="AU18" i="32"/>
  <c r="AO19" i="32"/>
  <c r="AP19" i="32"/>
  <c r="AQ19" i="32"/>
  <c r="AR19" i="32"/>
  <c r="AS19" i="32"/>
  <c r="AT19" i="32"/>
  <c r="AU19" i="32"/>
  <c r="AO20" i="32"/>
  <c r="AP20" i="32"/>
  <c r="AQ20" i="32"/>
  <c r="AR20" i="32"/>
  <c r="AS20" i="32"/>
  <c r="AT20" i="32"/>
  <c r="AU20" i="32"/>
  <c r="AO21" i="32"/>
  <c r="AP21" i="32"/>
  <c r="AQ21" i="32"/>
  <c r="AR21" i="32"/>
  <c r="AS21" i="32"/>
  <c r="AT21" i="32"/>
  <c r="AU21" i="32"/>
  <c r="AO22" i="32"/>
  <c r="AP22" i="32"/>
  <c r="AQ22" i="32"/>
  <c r="AR22" i="32"/>
  <c r="AS22" i="32"/>
  <c r="AT22" i="32"/>
  <c r="AU22" i="32"/>
  <c r="B23" i="32"/>
  <c r="AO23" i="32"/>
  <c r="AP23" i="32"/>
  <c r="AQ23" i="32"/>
  <c r="AR23" i="32"/>
  <c r="AS23" i="32"/>
  <c r="AT23" i="32"/>
  <c r="AU23" i="32"/>
  <c r="AO24" i="32"/>
  <c r="AP24" i="32"/>
  <c r="AQ24" i="32"/>
  <c r="AR24" i="32"/>
  <c r="AS24" i="32"/>
  <c r="AT24" i="32"/>
  <c r="AU24" i="32"/>
  <c r="AO25" i="32"/>
  <c r="AP25" i="32"/>
  <c r="AQ25" i="32"/>
  <c r="AR25" i="32"/>
  <c r="AS25" i="32"/>
  <c r="AT25" i="32"/>
  <c r="AU25" i="32"/>
  <c r="AO26" i="32"/>
  <c r="AP26" i="32"/>
  <c r="AQ26" i="32"/>
  <c r="AR26" i="32"/>
  <c r="AS26" i="32"/>
  <c r="AT26" i="32"/>
  <c r="AU26" i="32"/>
  <c r="AO27" i="32"/>
  <c r="AP27" i="32"/>
  <c r="AQ27" i="32"/>
  <c r="AR27" i="32"/>
  <c r="AS27" i="32"/>
  <c r="AT27" i="32"/>
  <c r="AU27" i="32"/>
  <c r="AO28" i="32"/>
  <c r="AP28" i="32"/>
  <c r="AQ28" i="32"/>
  <c r="AR28" i="32"/>
  <c r="AS28" i="32"/>
  <c r="AT28" i="32"/>
  <c r="AU28" i="32"/>
  <c r="AO29" i="32"/>
  <c r="AP29" i="32"/>
  <c r="AQ29" i="32"/>
  <c r="AR29" i="32"/>
  <c r="AS29" i="32"/>
  <c r="AT29" i="32"/>
  <c r="AU29" i="32"/>
  <c r="AO30" i="32"/>
  <c r="AP30" i="32"/>
  <c r="AQ30" i="32"/>
  <c r="AR30" i="32"/>
  <c r="AS30" i="32"/>
  <c r="AT30" i="32"/>
  <c r="AU30" i="32"/>
  <c r="AO31" i="32"/>
  <c r="AP31" i="32"/>
  <c r="AQ31" i="32"/>
  <c r="AR31" i="32"/>
  <c r="AS31" i="32"/>
  <c r="AT31" i="32"/>
  <c r="AU31" i="32"/>
  <c r="AO32" i="32"/>
  <c r="AP32" i="32"/>
  <c r="AQ32" i="32"/>
  <c r="AR32" i="32"/>
  <c r="AS32" i="32"/>
  <c r="AT32" i="32"/>
  <c r="AU32" i="32"/>
  <c r="AO33" i="32"/>
  <c r="AP33" i="32"/>
  <c r="AQ33" i="32"/>
  <c r="AR33" i="32"/>
  <c r="AS33" i="32"/>
  <c r="AT33" i="32"/>
  <c r="AU33" i="32"/>
  <c r="AO34" i="32"/>
  <c r="AP34" i="32"/>
  <c r="AQ34" i="32"/>
  <c r="AR34" i="32"/>
  <c r="AS34" i="32"/>
  <c r="AT34" i="32"/>
  <c r="AU34" i="32"/>
  <c r="AO35" i="32"/>
  <c r="AP35" i="32"/>
  <c r="AQ35" i="32"/>
  <c r="AR35" i="32"/>
  <c r="AS35" i="32"/>
  <c r="AT35" i="32"/>
  <c r="AU35" i="32"/>
  <c r="AO36" i="32"/>
  <c r="AP36" i="32"/>
  <c r="AQ36" i="32"/>
  <c r="AR36" i="32"/>
  <c r="AS36" i="32"/>
  <c r="AT36" i="32"/>
  <c r="AU36" i="32"/>
  <c r="AO37" i="32"/>
  <c r="AP37" i="32"/>
  <c r="AQ37" i="32"/>
  <c r="AR37" i="32"/>
  <c r="AS37" i="32"/>
  <c r="AT37" i="32"/>
  <c r="AU37" i="32"/>
  <c r="AO38" i="32"/>
  <c r="AP38" i="32"/>
  <c r="AQ38" i="32"/>
  <c r="AR38" i="32"/>
  <c r="AS38" i="32"/>
  <c r="AT38" i="32"/>
  <c r="AU38" i="32"/>
  <c r="AO39" i="32"/>
  <c r="AP39" i="32"/>
  <c r="AQ39" i="32"/>
  <c r="AR39" i="32"/>
  <c r="AS39" i="32"/>
  <c r="AT39" i="32"/>
  <c r="AU39" i="32"/>
  <c r="AO40" i="32"/>
  <c r="AP40" i="32"/>
  <c r="AQ40" i="32"/>
  <c r="AR40" i="32"/>
  <c r="AS40" i="32"/>
  <c r="AT40" i="32"/>
  <c r="AU40" i="32"/>
  <c r="AO41" i="32"/>
  <c r="AP41" i="32"/>
  <c r="AQ41" i="32"/>
  <c r="AR41" i="32"/>
  <c r="AS41" i="32"/>
  <c r="AT41" i="32"/>
  <c r="AU41" i="32"/>
  <c r="AO42" i="32"/>
  <c r="AP42" i="32"/>
  <c r="AQ42" i="32"/>
  <c r="AR42" i="32"/>
  <c r="AS42" i="32"/>
  <c r="AT42" i="32"/>
  <c r="AU42" i="32"/>
  <c r="AO43" i="32"/>
  <c r="AP43" i="32"/>
  <c r="AQ43" i="32"/>
  <c r="AR43" i="32"/>
  <c r="AS43" i="32"/>
  <c r="AT43" i="32"/>
  <c r="AU43" i="32"/>
  <c r="AO44" i="32"/>
  <c r="AP44" i="32"/>
  <c r="AQ44" i="32"/>
  <c r="AR44" i="32"/>
  <c r="AS44" i="32"/>
  <c r="AT44" i="32"/>
  <c r="AU44" i="32"/>
  <c r="AO45" i="32"/>
  <c r="AP45" i="32"/>
  <c r="AQ45" i="32"/>
  <c r="AR45" i="32"/>
  <c r="AS45" i="32"/>
  <c r="AT45" i="32"/>
  <c r="AU45" i="32"/>
  <c r="AO46" i="32"/>
  <c r="AP46" i="32"/>
  <c r="AQ46" i="32"/>
  <c r="AR46" i="32"/>
  <c r="AS46" i="32"/>
  <c r="AT46" i="32"/>
  <c r="AU46" i="32"/>
  <c r="AO47" i="32"/>
  <c r="AP47" i="32"/>
  <c r="AQ47" i="32"/>
  <c r="AR47" i="32"/>
  <c r="AS47" i="32"/>
  <c r="AT47" i="32"/>
  <c r="AU47" i="32"/>
  <c r="AO48" i="32"/>
  <c r="AP48" i="32"/>
  <c r="AQ48" i="32"/>
  <c r="AR48" i="32"/>
  <c r="AS48" i="32"/>
  <c r="AT48" i="32"/>
  <c r="AU48" i="32"/>
  <c r="AO49" i="32"/>
  <c r="AP49" i="32"/>
  <c r="AQ49" i="32"/>
  <c r="AR49" i="32"/>
  <c r="AS49" i="32"/>
  <c r="AT49" i="32"/>
  <c r="AU49" i="32"/>
  <c r="AO71" i="31"/>
  <c r="AP71" i="31"/>
  <c r="AQ71" i="31"/>
  <c r="AR71" i="31"/>
  <c r="AS71" i="31"/>
  <c r="AT71" i="31"/>
  <c r="AU71" i="31"/>
  <c r="AO72" i="31"/>
  <c r="AP72" i="31"/>
  <c r="AQ72" i="31"/>
  <c r="AR72" i="31"/>
  <c r="AS72" i="31"/>
  <c r="AT72" i="31"/>
  <c r="AU72" i="31"/>
  <c r="AO73" i="31"/>
  <c r="AP73" i="31"/>
  <c r="AQ73" i="31"/>
  <c r="AR73" i="31"/>
  <c r="AS73" i="31"/>
  <c r="AT73" i="31"/>
  <c r="AU73" i="31"/>
  <c r="AO74" i="31"/>
  <c r="AP74" i="31"/>
  <c r="AQ74" i="31"/>
  <c r="AR74" i="31"/>
  <c r="AS74" i="31"/>
  <c r="AT74" i="31"/>
  <c r="AU74" i="31"/>
  <c r="AU78" i="31" s="1"/>
  <c r="AU55" i="31"/>
  <c r="AO56" i="31"/>
  <c r="AP56" i="31"/>
  <c r="AQ56" i="31"/>
  <c r="AR56" i="31"/>
  <c r="AS56" i="31"/>
  <c r="AT56" i="31"/>
  <c r="AU56" i="31"/>
  <c r="AR60" i="31"/>
  <c r="AT60" i="31"/>
  <c r="AU60" i="31"/>
  <c r="AR61" i="31"/>
  <c r="AT61" i="31"/>
  <c r="AU61" i="31"/>
  <c r="AU62" i="31"/>
  <c r="AO63" i="31"/>
  <c r="AO77" i="31" s="1"/>
  <c r="AP63" i="31"/>
  <c r="AP77" i="31" s="1"/>
  <c r="AQ63" i="31"/>
  <c r="AQ77" i="31" s="1"/>
  <c r="AR63" i="31"/>
  <c r="AR77" i="31" s="1"/>
  <c r="AS63" i="31"/>
  <c r="AS77" i="31" s="1"/>
  <c r="AT63" i="31"/>
  <c r="AT77" i="31" s="1"/>
  <c r="AU63" i="31"/>
  <c r="AU77" i="31" s="1"/>
  <c r="AO9" i="31"/>
  <c r="AP9" i="31"/>
  <c r="AQ9" i="31"/>
  <c r="AR9" i="31"/>
  <c r="AS9" i="31"/>
  <c r="AT9" i="31"/>
  <c r="AU9" i="31"/>
  <c r="AO10" i="31"/>
  <c r="AP10" i="31"/>
  <c r="AQ10" i="31"/>
  <c r="AR10" i="31"/>
  <c r="AS10" i="31"/>
  <c r="AT10" i="31"/>
  <c r="AU10" i="31"/>
  <c r="AO11" i="31"/>
  <c r="AP11" i="31"/>
  <c r="AQ11" i="31"/>
  <c r="AR11" i="31"/>
  <c r="AS11" i="31"/>
  <c r="AT11" i="31"/>
  <c r="AU11" i="31"/>
  <c r="AO12" i="31"/>
  <c r="AP12" i="31"/>
  <c r="AQ12" i="31"/>
  <c r="AR12" i="31"/>
  <c r="AS12" i="31"/>
  <c r="AT12" i="31"/>
  <c r="AU12" i="31"/>
  <c r="AO13" i="31"/>
  <c r="AP13" i="31"/>
  <c r="AQ13" i="31"/>
  <c r="AR13" i="31"/>
  <c r="AS13" i="31"/>
  <c r="AT13" i="31"/>
  <c r="AU13" i="31"/>
  <c r="AO14" i="31"/>
  <c r="AP14" i="31"/>
  <c r="AQ14" i="31"/>
  <c r="AR14" i="31"/>
  <c r="AS14" i="31"/>
  <c r="AT14" i="31"/>
  <c r="AU14" i="31"/>
  <c r="AO15" i="31"/>
  <c r="AP15" i="31"/>
  <c r="AQ15" i="31"/>
  <c r="AR15" i="31"/>
  <c r="AS15" i="31"/>
  <c r="AT15" i="31"/>
  <c r="AU15" i="31"/>
  <c r="AR16" i="31"/>
  <c r="AS16" i="31"/>
  <c r="AT16" i="31"/>
  <c r="AU16" i="31"/>
  <c r="AO17" i="31"/>
  <c r="AP17" i="31"/>
  <c r="AQ17" i="31"/>
  <c r="AR17" i="31"/>
  <c r="AS17" i="31"/>
  <c r="AT17" i="31"/>
  <c r="AU17" i="31"/>
  <c r="AO18" i="31"/>
  <c r="AP18" i="31"/>
  <c r="AQ18" i="31"/>
  <c r="AR18" i="31"/>
  <c r="AS18" i="31"/>
  <c r="AT18" i="31"/>
  <c r="AU18" i="31"/>
  <c r="AO19" i="31"/>
  <c r="AP19" i="31"/>
  <c r="AQ19" i="31"/>
  <c r="AR19" i="31"/>
  <c r="AS19" i="31"/>
  <c r="AT19" i="31"/>
  <c r="AU19" i="31"/>
  <c r="AO20" i="31"/>
  <c r="AP20" i="31"/>
  <c r="AQ20" i="31"/>
  <c r="AR20" i="31"/>
  <c r="AS20" i="31"/>
  <c r="AT20" i="31"/>
  <c r="AU20" i="31"/>
  <c r="AO21" i="31"/>
  <c r="AP21" i="31"/>
  <c r="AQ21" i="31"/>
  <c r="AR21" i="31"/>
  <c r="AS21" i="31"/>
  <c r="AT21" i="31"/>
  <c r="AU21" i="31"/>
  <c r="AO22" i="31"/>
  <c r="AP22" i="31"/>
  <c r="AQ22" i="31"/>
  <c r="AR22" i="31"/>
  <c r="AS22" i="31"/>
  <c r="AT22" i="31"/>
  <c r="AU22" i="31"/>
  <c r="B23" i="31"/>
  <c r="AO23" i="31"/>
  <c r="AP23" i="31"/>
  <c r="AQ23" i="31"/>
  <c r="AR23" i="31"/>
  <c r="AS23" i="31"/>
  <c r="AT23" i="31"/>
  <c r="AU23" i="31"/>
  <c r="AO24" i="31"/>
  <c r="AP24" i="31"/>
  <c r="AQ24" i="31"/>
  <c r="AR24" i="31"/>
  <c r="AS24" i="31"/>
  <c r="AT24" i="31"/>
  <c r="AU24" i="31"/>
  <c r="AO25" i="31"/>
  <c r="AP25" i="31"/>
  <c r="AQ25" i="31"/>
  <c r="AR25" i="31"/>
  <c r="AS25" i="31"/>
  <c r="AT25" i="31"/>
  <c r="AU25" i="31"/>
  <c r="AO26" i="31"/>
  <c r="AP26" i="31"/>
  <c r="AQ26" i="31"/>
  <c r="AR26" i="31"/>
  <c r="AS26" i="31"/>
  <c r="AT26" i="31"/>
  <c r="AU26" i="31"/>
  <c r="AO27" i="31"/>
  <c r="AP27" i="31"/>
  <c r="AQ27" i="31"/>
  <c r="AR27" i="31"/>
  <c r="AS27" i="31"/>
  <c r="AT27" i="31"/>
  <c r="AU27" i="31"/>
  <c r="AO28" i="31"/>
  <c r="AP28" i="31"/>
  <c r="AQ28" i="31"/>
  <c r="AR28" i="31"/>
  <c r="AS28" i="31"/>
  <c r="AT28" i="31"/>
  <c r="AU28" i="31"/>
  <c r="AO29" i="31"/>
  <c r="AP29" i="31"/>
  <c r="AQ29" i="31"/>
  <c r="AR29" i="31"/>
  <c r="AS29" i="31"/>
  <c r="AT29" i="31"/>
  <c r="AU29" i="31"/>
  <c r="AO30" i="31"/>
  <c r="AP30" i="31"/>
  <c r="AQ30" i="31"/>
  <c r="AR30" i="31"/>
  <c r="AS30" i="31"/>
  <c r="AT30" i="31"/>
  <c r="AU30" i="31"/>
  <c r="AO31" i="31"/>
  <c r="AP31" i="31"/>
  <c r="AQ31" i="31"/>
  <c r="AR31" i="31"/>
  <c r="AS31" i="31"/>
  <c r="AT31" i="31"/>
  <c r="AU31" i="31"/>
  <c r="AO32" i="31"/>
  <c r="AP32" i="31"/>
  <c r="AQ32" i="31"/>
  <c r="AR32" i="31"/>
  <c r="AS32" i="31"/>
  <c r="AT32" i="31"/>
  <c r="AU32" i="31"/>
  <c r="AO33" i="31"/>
  <c r="AP33" i="31"/>
  <c r="AQ33" i="31"/>
  <c r="AR33" i="31"/>
  <c r="AS33" i="31"/>
  <c r="AT33" i="31"/>
  <c r="AU33" i="31"/>
  <c r="AO34" i="31"/>
  <c r="AP34" i="31"/>
  <c r="AQ34" i="31"/>
  <c r="AR34" i="31"/>
  <c r="AS34" i="31"/>
  <c r="AT34" i="31"/>
  <c r="AU34" i="31"/>
  <c r="AO35" i="31"/>
  <c r="AP35" i="31"/>
  <c r="AQ35" i="31"/>
  <c r="AR35" i="31"/>
  <c r="AS35" i="31"/>
  <c r="AT35" i="31"/>
  <c r="AU35" i="31"/>
  <c r="AO36" i="31"/>
  <c r="AP36" i="31"/>
  <c r="AQ36" i="31"/>
  <c r="AR36" i="31"/>
  <c r="AS36" i="31"/>
  <c r="AT36" i="31"/>
  <c r="AU36" i="31"/>
  <c r="AO37" i="31"/>
  <c r="AP37" i="31"/>
  <c r="AQ37" i="31"/>
  <c r="AR37" i="31"/>
  <c r="AS37" i="31"/>
  <c r="AT37" i="31"/>
  <c r="AU37" i="31"/>
  <c r="AO38" i="31"/>
  <c r="AP38" i="31"/>
  <c r="AQ38" i="31"/>
  <c r="AR38" i="31"/>
  <c r="AS38" i="31"/>
  <c r="AT38" i="31"/>
  <c r="AU38" i="31"/>
  <c r="AO39" i="31"/>
  <c r="AP39" i="31"/>
  <c r="AQ39" i="31"/>
  <c r="AR39" i="31"/>
  <c r="AS39" i="31"/>
  <c r="AT39" i="31"/>
  <c r="AU39" i="31"/>
  <c r="AO40" i="31"/>
  <c r="AP40" i="31"/>
  <c r="AQ40" i="31"/>
  <c r="AR40" i="31"/>
  <c r="AS40" i="31"/>
  <c r="AT40" i="31"/>
  <c r="AU40" i="31"/>
  <c r="AO41" i="31"/>
  <c r="AP41" i="31"/>
  <c r="AQ41" i="31"/>
  <c r="AR41" i="31"/>
  <c r="AS41" i="31"/>
  <c r="AT41" i="31"/>
  <c r="AU41" i="31"/>
  <c r="AO42" i="31"/>
  <c r="AP42" i="31"/>
  <c r="AQ42" i="31"/>
  <c r="AR42" i="31"/>
  <c r="AS42" i="31"/>
  <c r="AT42" i="31"/>
  <c r="AU42" i="31"/>
  <c r="AO43" i="31"/>
  <c r="AP43" i="31"/>
  <c r="AQ43" i="31"/>
  <c r="AR43" i="31"/>
  <c r="AS43" i="31"/>
  <c r="AT43" i="31"/>
  <c r="AU43" i="31"/>
  <c r="AO44" i="31"/>
  <c r="AP44" i="31"/>
  <c r="AQ44" i="31"/>
  <c r="AR44" i="31"/>
  <c r="AS44" i="31"/>
  <c r="AT44" i="31"/>
  <c r="AU44" i="31"/>
  <c r="AO45" i="31"/>
  <c r="AP45" i="31"/>
  <c r="AQ45" i="31"/>
  <c r="AR45" i="31"/>
  <c r="AS45" i="31"/>
  <c r="AT45" i="31"/>
  <c r="AU45" i="31"/>
  <c r="AO46" i="31"/>
  <c r="AP46" i="31"/>
  <c r="AQ46" i="31"/>
  <c r="AR46" i="31"/>
  <c r="AS46" i="31"/>
  <c r="AT46" i="31"/>
  <c r="AU46" i="31"/>
  <c r="AO47" i="31"/>
  <c r="AP47" i="31"/>
  <c r="AQ47" i="31"/>
  <c r="AR47" i="31"/>
  <c r="AS47" i="31"/>
  <c r="AT47" i="31"/>
  <c r="AU47" i="31"/>
  <c r="AO48" i="31"/>
  <c r="AP48" i="31"/>
  <c r="AQ48" i="31"/>
  <c r="AR48" i="31"/>
  <c r="AS48" i="31"/>
  <c r="AT48" i="31"/>
  <c r="AU48" i="31"/>
  <c r="AO49" i="31"/>
  <c r="AP49" i="31"/>
  <c r="AQ49" i="31"/>
  <c r="AR49" i="31"/>
  <c r="AS49" i="31"/>
  <c r="AT49" i="31"/>
  <c r="AU49" i="31"/>
  <c r="J26" i="21"/>
  <c r="AO70" i="30"/>
  <c r="AP70" i="30"/>
  <c r="AQ70" i="30"/>
  <c r="AR70" i="30"/>
  <c r="AS70" i="30"/>
  <c r="AT70" i="30"/>
  <c r="AU70" i="30"/>
  <c r="AO71" i="30"/>
  <c r="AP71" i="30"/>
  <c r="AQ71" i="30"/>
  <c r="AR71" i="30"/>
  <c r="AS71" i="30"/>
  <c r="AT71" i="30"/>
  <c r="AU71" i="30"/>
  <c r="AU75" i="30" s="1"/>
  <c r="AU55" i="30"/>
  <c r="AO56" i="30"/>
  <c r="AP56" i="30"/>
  <c r="AQ56" i="30"/>
  <c r="AR56" i="30"/>
  <c r="AS56" i="30"/>
  <c r="AT56" i="30"/>
  <c r="AU56" i="30"/>
  <c r="AR60" i="30"/>
  <c r="AT60" i="30"/>
  <c r="AU60" i="30"/>
  <c r="AR61" i="30"/>
  <c r="AT61" i="30"/>
  <c r="AU61" i="30"/>
  <c r="AO62" i="30"/>
  <c r="AO74" i="30" s="1"/>
  <c r="AP62" i="30"/>
  <c r="AP74" i="30" s="1"/>
  <c r="AQ62" i="30"/>
  <c r="AQ74" i="30" s="1"/>
  <c r="AR62" i="30"/>
  <c r="AR74" i="30" s="1"/>
  <c r="AS62" i="30"/>
  <c r="AS74" i="30" s="1"/>
  <c r="AT62" i="30"/>
  <c r="AT74" i="30" s="1"/>
  <c r="AU62" i="30"/>
  <c r="AU74" i="30" s="1"/>
  <c r="AO9" i="30"/>
  <c r="AP9" i="30"/>
  <c r="AQ9" i="30"/>
  <c r="AR9" i="30"/>
  <c r="AS9" i="30"/>
  <c r="AT9" i="30"/>
  <c r="AU9" i="30"/>
  <c r="AO10" i="30"/>
  <c r="AP10" i="30"/>
  <c r="AQ10" i="30"/>
  <c r="AR10" i="30"/>
  <c r="AS10" i="30"/>
  <c r="AT10" i="30"/>
  <c r="AU10" i="30"/>
  <c r="AO11" i="30"/>
  <c r="AP11" i="30"/>
  <c r="AQ11" i="30"/>
  <c r="AR11" i="30"/>
  <c r="AS11" i="30"/>
  <c r="AT11" i="30"/>
  <c r="AU11" i="30"/>
  <c r="AO12" i="30"/>
  <c r="AP12" i="30"/>
  <c r="AQ12" i="30"/>
  <c r="AR12" i="30"/>
  <c r="AS12" i="30"/>
  <c r="AT12" i="30"/>
  <c r="AU12" i="30"/>
  <c r="AO13" i="30"/>
  <c r="AP13" i="30"/>
  <c r="AQ13" i="30"/>
  <c r="AR13" i="30"/>
  <c r="AS13" i="30"/>
  <c r="AT13" i="30"/>
  <c r="AU13" i="30"/>
  <c r="AO14" i="30"/>
  <c r="AP14" i="30"/>
  <c r="AQ14" i="30"/>
  <c r="AR14" i="30"/>
  <c r="AS14" i="30"/>
  <c r="AT14" i="30"/>
  <c r="AU14" i="30"/>
  <c r="AO15" i="30"/>
  <c r="AP15" i="30"/>
  <c r="AQ15" i="30"/>
  <c r="AR15" i="30"/>
  <c r="AS15" i="30"/>
  <c r="AT15" i="30"/>
  <c r="AU15" i="30"/>
  <c r="AR16" i="30"/>
  <c r="AS16" i="30"/>
  <c r="AT16" i="30"/>
  <c r="AU16" i="30"/>
  <c r="AO17" i="30"/>
  <c r="AP17" i="30"/>
  <c r="AQ17" i="30"/>
  <c r="AR17" i="30"/>
  <c r="AS17" i="30"/>
  <c r="AT17" i="30"/>
  <c r="AU17" i="30"/>
  <c r="AO18" i="30"/>
  <c r="AP18" i="30"/>
  <c r="AQ18" i="30"/>
  <c r="AR18" i="30"/>
  <c r="AS18" i="30"/>
  <c r="AT18" i="30"/>
  <c r="AU18" i="30"/>
  <c r="AO19" i="30"/>
  <c r="AP19" i="30"/>
  <c r="AQ19" i="30"/>
  <c r="AR19" i="30"/>
  <c r="AS19" i="30"/>
  <c r="AT19" i="30"/>
  <c r="AU19" i="30"/>
  <c r="AO20" i="30"/>
  <c r="AP20" i="30"/>
  <c r="AQ20" i="30"/>
  <c r="AR20" i="30"/>
  <c r="AS20" i="30"/>
  <c r="AT20" i="30"/>
  <c r="AU20" i="30"/>
  <c r="AO21" i="30"/>
  <c r="AP21" i="30"/>
  <c r="AQ21" i="30"/>
  <c r="AR21" i="30"/>
  <c r="AS21" i="30"/>
  <c r="AT21" i="30"/>
  <c r="AU21" i="30"/>
  <c r="AO22" i="30"/>
  <c r="AP22" i="30"/>
  <c r="AQ22" i="30"/>
  <c r="AR22" i="30"/>
  <c r="AS22" i="30"/>
  <c r="AT22" i="30"/>
  <c r="AU22" i="30"/>
  <c r="B23" i="30"/>
  <c r="AO23" i="30"/>
  <c r="AP23" i="30"/>
  <c r="AQ23" i="30"/>
  <c r="AR23" i="30"/>
  <c r="AS23" i="30"/>
  <c r="AT23" i="30"/>
  <c r="AU23" i="30"/>
  <c r="AO24" i="30"/>
  <c r="AP24" i="30"/>
  <c r="AQ24" i="30"/>
  <c r="AR24" i="30"/>
  <c r="AS24" i="30"/>
  <c r="AT24" i="30"/>
  <c r="AU24" i="30"/>
  <c r="AO25" i="30"/>
  <c r="AP25" i="30"/>
  <c r="AQ25" i="30"/>
  <c r="AR25" i="30"/>
  <c r="AS25" i="30"/>
  <c r="AT25" i="30"/>
  <c r="AU25" i="30"/>
  <c r="AO26" i="30"/>
  <c r="AP26" i="30"/>
  <c r="AQ26" i="30"/>
  <c r="AR26" i="30"/>
  <c r="AS26" i="30"/>
  <c r="AT26" i="30"/>
  <c r="AU26" i="30"/>
  <c r="AO27" i="30"/>
  <c r="AP27" i="30"/>
  <c r="AQ27" i="30"/>
  <c r="AR27" i="30"/>
  <c r="AS27" i="30"/>
  <c r="AT27" i="30"/>
  <c r="AU27" i="30"/>
  <c r="AO28" i="30"/>
  <c r="AP28" i="30"/>
  <c r="AQ28" i="30"/>
  <c r="AR28" i="30"/>
  <c r="AS28" i="30"/>
  <c r="AT28" i="30"/>
  <c r="AU28" i="30"/>
  <c r="AO29" i="30"/>
  <c r="AP29" i="30"/>
  <c r="AQ29" i="30"/>
  <c r="AR29" i="30"/>
  <c r="AS29" i="30"/>
  <c r="AT29" i="30"/>
  <c r="AU29" i="30"/>
  <c r="AO30" i="30"/>
  <c r="AP30" i="30"/>
  <c r="AQ30" i="30"/>
  <c r="AR30" i="30"/>
  <c r="AS30" i="30"/>
  <c r="AT30" i="30"/>
  <c r="AU30" i="30"/>
  <c r="AO31" i="30"/>
  <c r="AP31" i="30"/>
  <c r="AQ31" i="30"/>
  <c r="AR31" i="30"/>
  <c r="AS31" i="30"/>
  <c r="AT31" i="30"/>
  <c r="AU31" i="30"/>
  <c r="AO32" i="30"/>
  <c r="AP32" i="30"/>
  <c r="AQ32" i="30"/>
  <c r="AR32" i="30"/>
  <c r="AS32" i="30"/>
  <c r="AT32" i="30"/>
  <c r="AU32" i="30"/>
  <c r="AO33" i="30"/>
  <c r="AP33" i="30"/>
  <c r="AQ33" i="30"/>
  <c r="AR33" i="30"/>
  <c r="AS33" i="30"/>
  <c r="AT33" i="30"/>
  <c r="AU33" i="30"/>
  <c r="AO34" i="30"/>
  <c r="AP34" i="30"/>
  <c r="AQ34" i="30"/>
  <c r="AR34" i="30"/>
  <c r="AS34" i="30"/>
  <c r="AT34" i="30"/>
  <c r="AU34" i="30"/>
  <c r="AO35" i="30"/>
  <c r="AP35" i="30"/>
  <c r="AQ35" i="30"/>
  <c r="AR35" i="30"/>
  <c r="AS35" i="30"/>
  <c r="AT35" i="30"/>
  <c r="AU35" i="30"/>
  <c r="AO36" i="30"/>
  <c r="AP36" i="30"/>
  <c r="AQ36" i="30"/>
  <c r="AR36" i="30"/>
  <c r="AS36" i="30"/>
  <c r="AT36" i="30"/>
  <c r="AU36" i="30"/>
  <c r="AO37" i="30"/>
  <c r="AP37" i="30"/>
  <c r="AQ37" i="30"/>
  <c r="AR37" i="30"/>
  <c r="AS37" i="30"/>
  <c r="AT37" i="30"/>
  <c r="AU37" i="30"/>
  <c r="AO38" i="30"/>
  <c r="AP38" i="30"/>
  <c r="AQ38" i="30"/>
  <c r="AR38" i="30"/>
  <c r="AS38" i="30"/>
  <c r="AT38" i="30"/>
  <c r="AU38" i="30"/>
  <c r="AO39" i="30"/>
  <c r="AP39" i="30"/>
  <c r="AQ39" i="30"/>
  <c r="AR39" i="30"/>
  <c r="AS39" i="30"/>
  <c r="AT39" i="30"/>
  <c r="AU39" i="30"/>
  <c r="AO40" i="30"/>
  <c r="AP40" i="30"/>
  <c r="AQ40" i="30"/>
  <c r="AR40" i="30"/>
  <c r="AS40" i="30"/>
  <c r="AT40" i="30"/>
  <c r="AU40" i="30"/>
  <c r="AO41" i="30"/>
  <c r="AP41" i="30"/>
  <c r="AQ41" i="30"/>
  <c r="AR41" i="30"/>
  <c r="AS41" i="30"/>
  <c r="AT41" i="30"/>
  <c r="AU41" i="30"/>
  <c r="AO42" i="30"/>
  <c r="AP42" i="30"/>
  <c r="AQ42" i="30"/>
  <c r="AR42" i="30"/>
  <c r="AS42" i="30"/>
  <c r="AT42" i="30"/>
  <c r="AU42" i="30"/>
  <c r="AO43" i="30"/>
  <c r="AP43" i="30"/>
  <c r="AQ43" i="30"/>
  <c r="AR43" i="30"/>
  <c r="AS43" i="30"/>
  <c r="AT43" i="30"/>
  <c r="AU43" i="30"/>
  <c r="AO44" i="30"/>
  <c r="AP44" i="30"/>
  <c r="AQ44" i="30"/>
  <c r="AR44" i="30"/>
  <c r="AS44" i="30"/>
  <c r="AT44" i="30"/>
  <c r="AU44" i="30"/>
  <c r="AO45" i="30"/>
  <c r="AP45" i="30"/>
  <c r="AQ45" i="30"/>
  <c r="AR45" i="30"/>
  <c r="AS45" i="30"/>
  <c r="AT45" i="30"/>
  <c r="AU45" i="30"/>
  <c r="AO46" i="30"/>
  <c r="AP46" i="30"/>
  <c r="AQ46" i="30"/>
  <c r="AR46" i="30"/>
  <c r="AS46" i="30"/>
  <c r="AT46" i="30"/>
  <c r="AU46" i="30"/>
  <c r="AO47" i="30"/>
  <c r="AP47" i="30"/>
  <c r="AQ47" i="30"/>
  <c r="AR47" i="30"/>
  <c r="AS47" i="30"/>
  <c r="AT47" i="30"/>
  <c r="AU47" i="30"/>
  <c r="AO48" i="30"/>
  <c r="AP48" i="30"/>
  <c r="AQ48" i="30"/>
  <c r="AR48" i="30"/>
  <c r="AS48" i="30"/>
  <c r="AT48" i="30"/>
  <c r="AU48" i="30"/>
  <c r="AO49" i="30"/>
  <c r="AP49" i="30"/>
  <c r="AQ49" i="30"/>
  <c r="AR49" i="30"/>
  <c r="AS49" i="30"/>
  <c r="AT49" i="30"/>
  <c r="AU49" i="30"/>
  <c r="H29" i="20"/>
  <c r="D88" i="20"/>
  <c r="H100" i="20"/>
  <c r="G100" i="20"/>
  <c r="F100" i="20"/>
  <c r="I100" i="20" s="1"/>
  <c r="J100" i="20" s="1"/>
  <c r="H98" i="20"/>
  <c r="G98" i="20"/>
  <c r="F98" i="20"/>
  <c r="I98" i="20" s="1"/>
  <c r="J98" i="20" s="1"/>
  <c r="G29" i="20"/>
  <c r="G25" i="20"/>
  <c r="G23" i="20"/>
  <c r="H21" i="20"/>
  <c r="G21" i="20"/>
  <c r="F21" i="20"/>
  <c r="I21" i="20" s="1"/>
  <c r="I90" i="29"/>
  <c r="H90" i="29"/>
  <c r="G90" i="29"/>
  <c r="I88" i="29"/>
  <c r="H88" i="29"/>
  <c r="G88" i="29"/>
  <c r="I23" i="29"/>
  <c r="H23" i="29"/>
  <c r="G23" i="29"/>
  <c r="I25" i="29"/>
  <c r="H25" i="29"/>
  <c r="G25" i="29"/>
  <c r="I21" i="29"/>
  <c r="H21" i="29"/>
  <c r="G21" i="29"/>
  <c r="I19" i="29"/>
  <c r="I27" i="29" s="1"/>
  <c r="H19" i="29"/>
  <c r="G19" i="29"/>
  <c r="G27" i="29" s="1"/>
  <c r="E102" i="29"/>
  <c r="F94" i="29"/>
  <c r="I94" i="29" s="1"/>
  <c r="J94" i="29" s="1"/>
  <c r="H91" i="29"/>
  <c r="J91" i="29" s="1"/>
  <c r="F90" i="29"/>
  <c r="J90" i="29" s="1"/>
  <c r="H89" i="29"/>
  <c r="J89" i="29" s="1"/>
  <c r="H95" i="29"/>
  <c r="H96" i="29" s="1"/>
  <c r="H106" i="29" s="1"/>
  <c r="F88" i="29"/>
  <c r="H83" i="29"/>
  <c r="H84" i="29" s="1"/>
  <c r="H103" i="29" s="1"/>
  <c r="G83" i="29"/>
  <c r="G84" i="29" s="1"/>
  <c r="G103" i="29" s="1"/>
  <c r="F82" i="29"/>
  <c r="I82" i="29" s="1"/>
  <c r="J82" i="29" s="1"/>
  <c r="F81" i="29"/>
  <c r="I81" i="29" s="1"/>
  <c r="J81" i="29" s="1"/>
  <c r="F80" i="29"/>
  <c r="I80" i="29" s="1"/>
  <c r="J80" i="29" s="1"/>
  <c r="F79" i="29"/>
  <c r="I79" i="29" s="1"/>
  <c r="J79" i="29" s="1"/>
  <c r="F78" i="29"/>
  <c r="H73" i="29"/>
  <c r="H74" i="29" s="1"/>
  <c r="H102" i="29" s="1"/>
  <c r="G73" i="29"/>
  <c r="G74" i="29" s="1"/>
  <c r="G102" i="29" s="1"/>
  <c r="F72" i="29"/>
  <c r="I72" i="29" s="1"/>
  <c r="J72" i="29" s="1"/>
  <c r="H65" i="29"/>
  <c r="H66" i="29" s="1"/>
  <c r="H101" i="29" s="1"/>
  <c r="G65" i="29"/>
  <c r="G66" i="29" s="1"/>
  <c r="G101" i="29" s="1"/>
  <c r="G53" i="29"/>
  <c r="G54" i="29" s="1"/>
  <c r="G100" i="29" s="1"/>
  <c r="F52" i="29"/>
  <c r="F51" i="29"/>
  <c r="F50" i="29"/>
  <c r="F49" i="29"/>
  <c r="F48" i="29"/>
  <c r="F47" i="29"/>
  <c r="F46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25" i="29"/>
  <c r="J25" i="29" s="1"/>
  <c r="H24" i="29"/>
  <c r="J24" i="29" s="1"/>
  <c r="F23" i="29"/>
  <c r="J23" i="29" s="1"/>
  <c r="H22" i="29"/>
  <c r="J22" i="29" s="1"/>
  <c r="F21" i="29"/>
  <c r="J21" i="29" s="1"/>
  <c r="H20" i="29"/>
  <c r="J20" i="29" s="1"/>
  <c r="G28" i="29"/>
  <c r="G99" i="29" s="1"/>
  <c r="G104" i="29" s="1"/>
  <c r="F19" i="29"/>
  <c r="F27" i="29" s="1"/>
  <c r="H99" i="24"/>
  <c r="G99" i="24"/>
  <c r="H97" i="24"/>
  <c r="G97" i="24"/>
  <c r="H23" i="24"/>
  <c r="H21" i="24"/>
  <c r="G21" i="24"/>
  <c r="H100" i="27"/>
  <c r="G100" i="27"/>
  <c r="H98" i="27"/>
  <c r="G98" i="27"/>
  <c r="H25" i="27"/>
  <c r="G25" i="27"/>
  <c r="G23" i="27"/>
  <c r="H21" i="27"/>
  <c r="G21" i="27"/>
  <c r="G19" i="27"/>
  <c r="G27" i="27" s="1"/>
  <c r="E112" i="28"/>
  <c r="F104" i="28"/>
  <c r="I104" i="28" s="1"/>
  <c r="J104" i="28" s="1"/>
  <c r="H101" i="28"/>
  <c r="J101" i="28" s="1"/>
  <c r="H100" i="28"/>
  <c r="G100" i="28"/>
  <c r="F100" i="28"/>
  <c r="I100" i="28" s="1"/>
  <c r="J100" i="28" s="1"/>
  <c r="H99" i="28"/>
  <c r="J99" i="28" s="1"/>
  <c r="H98" i="28"/>
  <c r="H105" i="28" s="1"/>
  <c r="H106" i="28" s="1"/>
  <c r="H116" i="28" s="1"/>
  <c r="G98" i="28"/>
  <c r="F98" i="28"/>
  <c r="H93" i="28"/>
  <c r="H94" i="28" s="1"/>
  <c r="H113" i="28" s="1"/>
  <c r="G93" i="28"/>
  <c r="G94" i="28" s="1"/>
  <c r="G113" i="28" s="1"/>
  <c r="F92" i="28"/>
  <c r="I92" i="28" s="1"/>
  <c r="J92" i="28" s="1"/>
  <c r="F91" i="28"/>
  <c r="I91" i="28" s="1"/>
  <c r="J91" i="28" s="1"/>
  <c r="F90" i="28"/>
  <c r="I90" i="28" s="1"/>
  <c r="J90" i="28" s="1"/>
  <c r="F89" i="28"/>
  <c r="I89" i="28" s="1"/>
  <c r="J89" i="28" s="1"/>
  <c r="F88" i="28"/>
  <c r="I88" i="28" s="1"/>
  <c r="J88" i="28" s="1"/>
  <c r="F87" i="28"/>
  <c r="I87" i="28" s="1"/>
  <c r="J87" i="28" s="1"/>
  <c r="D86" i="28"/>
  <c r="F86" i="28" s="1"/>
  <c r="I86" i="28" s="1"/>
  <c r="J86" i="28" s="1"/>
  <c r="F85" i="28"/>
  <c r="H80" i="28"/>
  <c r="H81" i="28" s="1"/>
  <c r="H112" i="28" s="1"/>
  <c r="G80" i="28"/>
  <c r="G81" i="28" s="1"/>
  <c r="G112" i="28" s="1"/>
  <c r="F79" i="28"/>
  <c r="I79" i="28" s="1"/>
  <c r="J79" i="28" s="1"/>
  <c r="H72" i="28"/>
  <c r="H73" i="28" s="1"/>
  <c r="H111" i="28" s="1"/>
  <c r="G72" i="28"/>
  <c r="G73" i="28" s="1"/>
  <c r="G111" i="28" s="1"/>
  <c r="G57" i="28"/>
  <c r="G58" i="28" s="1"/>
  <c r="G110" i="28" s="1"/>
  <c r="F56" i="28"/>
  <c r="F55" i="28"/>
  <c r="F54" i="28"/>
  <c r="F53" i="28"/>
  <c r="F52" i="28"/>
  <c r="F51" i="28"/>
  <c r="F50" i="28"/>
  <c r="F49" i="28"/>
  <c r="F48" i="28"/>
  <c r="F46" i="28"/>
  <c r="F44" i="28"/>
  <c r="F43" i="28"/>
  <c r="F42" i="28"/>
  <c r="F41" i="28"/>
  <c r="F40" i="28"/>
  <c r="F39" i="28"/>
  <c r="F38" i="28"/>
  <c r="F37" i="28"/>
  <c r="F36" i="28"/>
  <c r="F35" i="28"/>
  <c r="F34" i="28"/>
  <c r="F33" i="28"/>
  <c r="H25" i="28"/>
  <c r="G25" i="28"/>
  <c r="F25" i="28"/>
  <c r="I25" i="28" s="1"/>
  <c r="J25" i="28" s="1"/>
  <c r="H24" i="28"/>
  <c r="J24" i="28" s="1"/>
  <c r="H23" i="28"/>
  <c r="G23" i="28"/>
  <c r="F23" i="28"/>
  <c r="I23" i="28" s="1"/>
  <c r="J23" i="28" s="1"/>
  <c r="H22" i="28"/>
  <c r="J22" i="28" s="1"/>
  <c r="H21" i="28"/>
  <c r="G21" i="28"/>
  <c r="F21" i="28"/>
  <c r="I21" i="28" s="1"/>
  <c r="J21" i="28" s="1"/>
  <c r="H20" i="28"/>
  <c r="J20" i="28" s="1"/>
  <c r="H19" i="28"/>
  <c r="G19" i="28"/>
  <c r="F19" i="28"/>
  <c r="F27" i="28" s="1"/>
  <c r="F54" i="27"/>
  <c r="F51" i="27"/>
  <c r="F44" i="27"/>
  <c r="F91" i="27"/>
  <c r="I91" i="27" s="1"/>
  <c r="J91" i="27" s="1"/>
  <c r="F41" i="27"/>
  <c r="F40" i="27"/>
  <c r="H23" i="27"/>
  <c r="H19" i="27"/>
  <c r="E112" i="27"/>
  <c r="F104" i="27"/>
  <c r="I104" i="27" s="1"/>
  <c r="J104" i="27" s="1"/>
  <c r="H101" i="27"/>
  <c r="J101" i="27" s="1"/>
  <c r="F100" i="27"/>
  <c r="H99" i="27"/>
  <c r="J99" i="27" s="1"/>
  <c r="H105" i="27"/>
  <c r="H106" i="27" s="1"/>
  <c r="H116" i="27" s="1"/>
  <c r="F98" i="27"/>
  <c r="H93" i="27"/>
  <c r="H94" i="27" s="1"/>
  <c r="H113" i="27" s="1"/>
  <c r="G93" i="27"/>
  <c r="G94" i="27" s="1"/>
  <c r="G113" i="27" s="1"/>
  <c r="F92" i="27"/>
  <c r="I92" i="27" s="1"/>
  <c r="J92" i="27" s="1"/>
  <c r="F90" i="27"/>
  <c r="I90" i="27" s="1"/>
  <c r="J90" i="27" s="1"/>
  <c r="F89" i="27"/>
  <c r="I89" i="27" s="1"/>
  <c r="J89" i="27" s="1"/>
  <c r="F88" i="27"/>
  <c r="I88" i="27" s="1"/>
  <c r="J88" i="27" s="1"/>
  <c r="F87" i="27"/>
  <c r="I87" i="27" s="1"/>
  <c r="J87" i="27" s="1"/>
  <c r="D86" i="27"/>
  <c r="F86" i="27" s="1"/>
  <c r="I86" i="27" s="1"/>
  <c r="J86" i="27" s="1"/>
  <c r="F85" i="27"/>
  <c r="H80" i="27"/>
  <c r="H81" i="27" s="1"/>
  <c r="H112" i="27" s="1"/>
  <c r="G80" i="27"/>
  <c r="G81" i="27" s="1"/>
  <c r="G112" i="27" s="1"/>
  <c r="F79" i="27"/>
  <c r="I79" i="27" s="1"/>
  <c r="J79" i="27" s="1"/>
  <c r="H72" i="27"/>
  <c r="H73" i="27" s="1"/>
  <c r="H111" i="27" s="1"/>
  <c r="G72" i="27"/>
  <c r="G73" i="27" s="1"/>
  <c r="G111" i="27" s="1"/>
  <c r="G57" i="27"/>
  <c r="G58" i="27" s="1"/>
  <c r="G110" i="27" s="1"/>
  <c r="F56" i="27"/>
  <c r="F55" i="27"/>
  <c r="F53" i="27"/>
  <c r="F52" i="27"/>
  <c r="F50" i="27"/>
  <c r="F49" i="27"/>
  <c r="F48" i="27"/>
  <c r="F46" i="27"/>
  <c r="F43" i="27"/>
  <c r="F42" i="27"/>
  <c r="F39" i="27"/>
  <c r="F38" i="27"/>
  <c r="F37" i="27"/>
  <c r="F36" i="27"/>
  <c r="F35" i="27"/>
  <c r="F34" i="27"/>
  <c r="F33" i="27"/>
  <c r="F25" i="27"/>
  <c r="I25" i="27" s="1"/>
  <c r="H24" i="27"/>
  <c r="J24" i="27" s="1"/>
  <c r="F23" i="27"/>
  <c r="I23" i="27" s="1"/>
  <c r="H22" i="27"/>
  <c r="J22" i="27" s="1"/>
  <c r="F21" i="27"/>
  <c r="H20" i="27"/>
  <c r="J20" i="27" s="1"/>
  <c r="G28" i="27"/>
  <c r="G109" i="27" s="1"/>
  <c r="G114" i="27" s="1"/>
  <c r="F19" i="27"/>
  <c r="G97" i="26"/>
  <c r="H97" i="26"/>
  <c r="G95" i="26"/>
  <c r="H95" i="26"/>
  <c r="H25" i="26"/>
  <c r="G25" i="26"/>
  <c r="H23" i="26"/>
  <c r="G23" i="26"/>
  <c r="H21" i="26"/>
  <c r="G21" i="26"/>
  <c r="H19" i="26"/>
  <c r="G19" i="26"/>
  <c r="G27" i="26" s="1"/>
  <c r="D84" i="26"/>
  <c r="D85" i="26"/>
  <c r="D83" i="26"/>
  <c r="E109" i="26"/>
  <c r="F101" i="26"/>
  <c r="I101" i="26" s="1"/>
  <c r="J101" i="26" s="1"/>
  <c r="H98" i="26"/>
  <c r="J98" i="26" s="1"/>
  <c r="F97" i="26"/>
  <c r="I97" i="26" s="1"/>
  <c r="J97" i="26" s="1"/>
  <c r="H96" i="26"/>
  <c r="J96" i="26" s="1"/>
  <c r="H102" i="26"/>
  <c r="H103" i="26" s="1"/>
  <c r="H113" i="26" s="1"/>
  <c r="F95" i="26"/>
  <c r="H90" i="26"/>
  <c r="H91" i="26" s="1"/>
  <c r="H110" i="26" s="1"/>
  <c r="G90" i="26"/>
  <c r="G91" i="26" s="1"/>
  <c r="G110" i="26" s="1"/>
  <c r="F89" i="26"/>
  <c r="I89" i="26" s="1"/>
  <c r="J89" i="26" s="1"/>
  <c r="F88" i="26"/>
  <c r="I88" i="26" s="1"/>
  <c r="J88" i="26" s="1"/>
  <c r="F87" i="26"/>
  <c r="I87" i="26" s="1"/>
  <c r="J87" i="26" s="1"/>
  <c r="D86" i="26"/>
  <c r="F86" i="26" s="1"/>
  <c r="I86" i="26" s="1"/>
  <c r="J86" i="26" s="1"/>
  <c r="F85" i="26"/>
  <c r="I85" i="26" s="1"/>
  <c r="J85" i="26" s="1"/>
  <c r="F84" i="26"/>
  <c r="I84" i="26" s="1"/>
  <c r="J84" i="26" s="1"/>
  <c r="F83" i="26"/>
  <c r="I83" i="26" s="1"/>
  <c r="J83" i="26" s="1"/>
  <c r="D82" i="26"/>
  <c r="F82" i="26" s="1"/>
  <c r="I82" i="26" s="1"/>
  <c r="J82" i="26" s="1"/>
  <c r="F81" i="26"/>
  <c r="H76" i="26"/>
  <c r="H77" i="26" s="1"/>
  <c r="H109" i="26" s="1"/>
  <c r="G76" i="26"/>
  <c r="G77" i="26" s="1"/>
  <c r="G109" i="26" s="1"/>
  <c r="F75" i="26"/>
  <c r="I75" i="26" s="1"/>
  <c r="J75" i="26" s="1"/>
  <c r="H68" i="26"/>
  <c r="H69" i="26" s="1"/>
  <c r="H108" i="26" s="1"/>
  <c r="G68" i="26"/>
  <c r="G69" i="26" s="1"/>
  <c r="G108" i="26" s="1"/>
  <c r="G53" i="26"/>
  <c r="G54" i="26" s="1"/>
  <c r="G107" i="26" s="1"/>
  <c r="F52" i="26"/>
  <c r="F51" i="26"/>
  <c r="F50" i="26"/>
  <c r="F49" i="26"/>
  <c r="F48" i="26"/>
  <c r="F47" i="26"/>
  <c r="F46" i="26"/>
  <c r="F44" i="26"/>
  <c r="F42" i="26"/>
  <c r="F41" i="26"/>
  <c r="F40" i="26"/>
  <c r="F39" i="26"/>
  <c r="F38" i="26"/>
  <c r="F37" i="26"/>
  <c r="F36" i="26"/>
  <c r="F35" i="26"/>
  <c r="F34" i="26"/>
  <c r="F33" i="26"/>
  <c r="F25" i="26"/>
  <c r="H24" i="26"/>
  <c r="J24" i="26" s="1"/>
  <c r="F23" i="26"/>
  <c r="H22" i="26"/>
  <c r="J22" i="26" s="1"/>
  <c r="F21" i="26"/>
  <c r="H20" i="26"/>
  <c r="J20" i="26" s="1"/>
  <c r="G28" i="26"/>
  <c r="G106" i="26" s="1"/>
  <c r="G111" i="26" s="1"/>
  <c r="F19" i="26"/>
  <c r="H103" i="25"/>
  <c r="G103" i="25"/>
  <c r="H101" i="25"/>
  <c r="G101" i="25"/>
  <c r="D86" i="25"/>
  <c r="D82" i="25"/>
  <c r="H23" i="25"/>
  <c r="G23" i="25"/>
  <c r="H25" i="25"/>
  <c r="G25" i="25"/>
  <c r="H21" i="25"/>
  <c r="G21" i="25"/>
  <c r="H19" i="25"/>
  <c r="G19" i="25"/>
  <c r="G27" i="25" s="1"/>
  <c r="E115" i="25"/>
  <c r="H104" i="25"/>
  <c r="J104" i="25" s="1"/>
  <c r="F103" i="25"/>
  <c r="I103" i="25" s="1"/>
  <c r="J103" i="25" s="1"/>
  <c r="H102" i="25"/>
  <c r="J102" i="25" s="1"/>
  <c r="H108" i="25"/>
  <c r="H109" i="25" s="1"/>
  <c r="H119" i="25" s="1"/>
  <c r="F101" i="25"/>
  <c r="H96" i="25"/>
  <c r="H97" i="25" s="1"/>
  <c r="H116" i="25" s="1"/>
  <c r="G96" i="25"/>
  <c r="G97" i="25" s="1"/>
  <c r="G116" i="25" s="1"/>
  <c r="F95" i="25"/>
  <c r="I95" i="25" s="1"/>
  <c r="J95" i="25" s="1"/>
  <c r="F94" i="25"/>
  <c r="I94" i="25" s="1"/>
  <c r="J94" i="25" s="1"/>
  <c r="F93" i="25"/>
  <c r="I93" i="25" s="1"/>
  <c r="J93" i="25" s="1"/>
  <c r="F92" i="25"/>
  <c r="I92" i="25" s="1"/>
  <c r="J92" i="25" s="1"/>
  <c r="F91" i="25"/>
  <c r="I91" i="25" s="1"/>
  <c r="J91" i="25" s="1"/>
  <c r="F90" i="25"/>
  <c r="I90" i="25" s="1"/>
  <c r="J90" i="25" s="1"/>
  <c r="F89" i="25"/>
  <c r="I89" i="25" s="1"/>
  <c r="J89" i="25" s="1"/>
  <c r="F88" i="25"/>
  <c r="I88" i="25" s="1"/>
  <c r="J88" i="25" s="1"/>
  <c r="F87" i="25"/>
  <c r="I87" i="25" s="1"/>
  <c r="J87" i="25" s="1"/>
  <c r="F86" i="25"/>
  <c r="I86" i="25" s="1"/>
  <c r="J86" i="25" s="1"/>
  <c r="F85" i="25"/>
  <c r="I85" i="25" s="1"/>
  <c r="J85" i="25" s="1"/>
  <c r="F84" i="25"/>
  <c r="I84" i="25" s="1"/>
  <c r="J84" i="25" s="1"/>
  <c r="F83" i="25"/>
  <c r="I83" i="25" s="1"/>
  <c r="J83" i="25" s="1"/>
  <c r="F82" i="25"/>
  <c r="I82" i="25" s="1"/>
  <c r="J82" i="25" s="1"/>
  <c r="F81" i="25"/>
  <c r="H76" i="25"/>
  <c r="H77" i="25" s="1"/>
  <c r="H115" i="25" s="1"/>
  <c r="G76" i="25"/>
  <c r="G77" i="25" s="1"/>
  <c r="G115" i="25" s="1"/>
  <c r="F75" i="25"/>
  <c r="I75" i="25" s="1"/>
  <c r="J75" i="25" s="1"/>
  <c r="H68" i="25"/>
  <c r="H69" i="25" s="1"/>
  <c r="H114" i="25" s="1"/>
  <c r="G68" i="25"/>
  <c r="G69" i="25" s="1"/>
  <c r="G114" i="25" s="1"/>
  <c r="G53" i="25"/>
  <c r="G54" i="25" s="1"/>
  <c r="G113" i="25" s="1"/>
  <c r="F52" i="25"/>
  <c r="F51" i="25"/>
  <c r="F50" i="25"/>
  <c r="F49" i="25"/>
  <c r="F48" i="25"/>
  <c r="F47" i="25"/>
  <c r="F46" i="25"/>
  <c r="F44" i="25"/>
  <c r="F42" i="25"/>
  <c r="F41" i="25"/>
  <c r="F40" i="25"/>
  <c r="F39" i="25"/>
  <c r="F38" i="25"/>
  <c r="F37" i="25"/>
  <c r="F36" i="25"/>
  <c r="F35" i="25"/>
  <c r="F34" i="25"/>
  <c r="F33" i="25"/>
  <c r="F25" i="25"/>
  <c r="H24" i="25"/>
  <c r="J24" i="25" s="1"/>
  <c r="F23" i="25"/>
  <c r="H22" i="25"/>
  <c r="J22" i="25" s="1"/>
  <c r="F21" i="25"/>
  <c r="H20" i="25"/>
  <c r="J20" i="25" s="1"/>
  <c r="G28" i="25"/>
  <c r="G112" i="25" s="1"/>
  <c r="G117" i="25" s="1"/>
  <c r="F19" i="25"/>
  <c r="H96" i="22"/>
  <c r="G96" i="22"/>
  <c r="H95" i="22"/>
  <c r="G95" i="22"/>
  <c r="H22" i="22"/>
  <c r="G22" i="22"/>
  <c r="H21" i="22"/>
  <c r="G21" i="22"/>
  <c r="H20" i="22"/>
  <c r="G20" i="22"/>
  <c r="H19" i="22"/>
  <c r="H24" i="22" s="1"/>
  <c r="G19" i="22"/>
  <c r="G24" i="22" s="1"/>
  <c r="H100" i="19"/>
  <c r="H98" i="19"/>
  <c r="H25" i="19"/>
  <c r="H23" i="19"/>
  <c r="H21" i="19"/>
  <c r="H19" i="19"/>
  <c r="G107" i="21"/>
  <c r="G105" i="21"/>
  <c r="D99" i="21"/>
  <c r="D97" i="21"/>
  <c r="D98" i="21"/>
  <c r="F98" i="21" s="1"/>
  <c r="F97" i="21"/>
  <c r="D96" i="21"/>
  <c r="F96" i="21" s="1"/>
  <c r="D95" i="21"/>
  <c r="F95" i="21" s="1"/>
  <c r="D94" i="21"/>
  <c r="F94" i="21" s="1"/>
  <c r="D93" i="21"/>
  <c r="G23" i="21"/>
  <c r="D46" i="23"/>
  <c r="D45" i="23"/>
  <c r="D42" i="23"/>
  <c r="D40" i="23"/>
  <c r="D39" i="23"/>
  <c r="D35" i="23"/>
  <c r="D34" i="23"/>
  <c r="H25" i="24"/>
  <c r="G25" i="24"/>
  <c r="G23" i="24"/>
  <c r="H19" i="24"/>
  <c r="G19" i="24"/>
  <c r="G27" i="24" s="1"/>
  <c r="H91" i="23"/>
  <c r="G91" i="23"/>
  <c r="H90" i="23"/>
  <c r="G90" i="23"/>
  <c r="D91" i="23"/>
  <c r="D90" i="23"/>
  <c r="E111" i="24"/>
  <c r="F97" i="24"/>
  <c r="H98" i="24"/>
  <c r="J98" i="24"/>
  <c r="F99" i="24"/>
  <c r="H100" i="24"/>
  <c r="J100" i="24"/>
  <c r="F101" i="24"/>
  <c r="J101" i="24"/>
  <c r="F103" i="24"/>
  <c r="I103" i="24"/>
  <c r="J103" i="24"/>
  <c r="F104" i="24"/>
  <c r="G104" i="24"/>
  <c r="H104" i="24"/>
  <c r="F105" i="24"/>
  <c r="F115" i="24" s="1"/>
  <c r="G105" i="24"/>
  <c r="G115" i="24" s="1"/>
  <c r="H105" i="24"/>
  <c r="H115" i="24" s="1"/>
  <c r="F75" i="24"/>
  <c r="I75" i="24"/>
  <c r="J75" i="24"/>
  <c r="G76" i="24"/>
  <c r="H76" i="24"/>
  <c r="G77" i="24"/>
  <c r="G111" i="24" s="1"/>
  <c r="H77" i="24"/>
  <c r="H111" i="24" s="1"/>
  <c r="F81" i="24"/>
  <c r="I81" i="24"/>
  <c r="J81" i="24"/>
  <c r="F82" i="24"/>
  <c r="I82" i="24"/>
  <c r="J82" i="24"/>
  <c r="F83" i="24"/>
  <c r="I83" i="24"/>
  <c r="J83" i="24"/>
  <c r="F84" i="24"/>
  <c r="I84" i="24"/>
  <c r="J84" i="24"/>
  <c r="F85" i="24"/>
  <c r="I85" i="24"/>
  <c r="J85" i="24"/>
  <c r="F86" i="24"/>
  <c r="I86" i="24"/>
  <c r="J86" i="24"/>
  <c r="F87" i="24"/>
  <c r="I87" i="24"/>
  <c r="J87" i="24"/>
  <c r="F88" i="24"/>
  <c r="I88" i="24"/>
  <c r="J88" i="24"/>
  <c r="F89" i="24"/>
  <c r="I89" i="24"/>
  <c r="J89" i="24"/>
  <c r="F90" i="24"/>
  <c r="I90" i="24"/>
  <c r="J90" i="24"/>
  <c r="F91" i="24"/>
  <c r="I91" i="24"/>
  <c r="J91" i="24"/>
  <c r="F92" i="24"/>
  <c r="G92" i="24"/>
  <c r="H92" i="24"/>
  <c r="I92" i="24"/>
  <c r="J92" i="24"/>
  <c r="F93" i="24"/>
  <c r="F112" i="24" s="1"/>
  <c r="G93" i="24"/>
  <c r="G112" i="24" s="1"/>
  <c r="H93" i="24"/>
  <c r="H112" i="24" s="1"/>
  <c r="I93" i="24"/>
  <c r="I112" i="24" s="1"/>
  <c r="J93" i="24"/>
  <c r="F68" i="24"/>
  <c r="G68" i="24"/>
  <c r="H68" i="24"/>
  <c r="I68" i="24"/>
  <c r="J68" i="24"/>
  <c r="F69" i="24"/>
  <c r="F110" i="24" s="1"/>
  <c r="G69" i="24"/>
  <c r="G110" i="24" s="1"/>
  <c r="H69" i="24"/>
  <c r="H110" i="24" s="1"/>
  <c r="I69" i="24"/>
  <c r="I110" i="24" s="1"/>
  <c r="J69" i="24"/>
  <c r="F33" i="24"/>
  <c r="H33" i="24"/>
  <c r="I33" i="24"/>
  <c r="J33" i="24"/>
  <c r="F34" i="24"/>
  <c r="H34" i="24"/>
  <c r="I34" i="24"/>
  <c r="J34" i="24"/>
  <c r="F35" i="24"/>
  <c r="H35" i="24"/>
  <c r="I35" i="24"/>
  <c r="J35" i="24"/>
  <c r="F36" i="24"/>
  <c r="H36" i="24"/>
  <c r="I36" i="24"/>
  <c r="J36" i="24"/>
  <c r="F37" i="24"/>
  <c r="H37" i="24"/>
  <c r="I37" i="24"/>
  <c r="J37" i="24"/>
  <c r="F38" i="24"/>
  <c r="H38" i="24"/>
  <c r="I38" i="24"/>
  <c r="J38" i="24"/>
  <c r="F39" i="24"/>
  <c r="H39" i="24"/>
  <c r="I39" i="24"/>
  <c r="J39" i="24"/>
  <c r="F40" i="24"/>
  <c r="H40" i="24"/>
  <c r="I40" i="24"/>
  <c r="J40" i="24"/>
  <c r="F41" i="24"/>
  <c r="H41" i="24"/>
  <c r="I41" i="24"/>
  <c r="J41" i="24"/>
  <c r="F42" i="24"/>
  <c r="H42" i="24"/>
  <c r="I42" i="24"/>
  <c r="J42" i="24"/>
  <c r="F43" i="24"/>
  <c r="H43" i="24"/>
  <c r="I43" i="24"/>
  <c r="J43" i="24"/>
  <c r="F44" i="24"/>
  <c r="H44" i="24"/>
  <c r="I44" i="24"/>
  <c r="J44" i="24"/>
  <c r="F46" i="24"/>
  <c r="H46" i="24"/>
  <c r="I46" i="24"/>
  <c r="J46" i="24"/>
  <c r="F47" i="24"/>
  <c r="H47" i="24"/>
  <c r="I47" i="24"/>
  <c r="J47" i="24"/>
  <c r="F48" i="24"/>
  <c r="H48" i="24"/>
  <c r="I48" i="24"/>
  <c r="J48" i="24"/>
  <c r="F49" i="24"/>
  <c r="H49" i="24"/>
  <c r="I49" i="24"/>
  <c r="J49" i="24"/>
  <c r="F50" i="24"/>
  <c r="H50" i="24"/>
  <c r="I50" i="24"/>
  <c r="J50" i="24"/>
  <c r="F51" i="24"/>
  <c r="H51" i="24"/>
  <c r="I51" i="24"/>
  <c r="J51" i="24"/>
  <c r="F52" i="24"/>
  <c r="H52" i="24"/>
  <c r="I52" i="24"/>
  <c r="J52" i="24"/>
  <c r="F53" i="24"/>
  <c r="G53" i="24"/>
  <c r="H53" i="24"/>
  <c r="I53" i="24"/>
  <c r="J53" i="24"/>
  <c r="F54" i="24"/>
  <c r="F109" i="24" s="1"/>
  <c r="G54" i="24"/>
  <c r="G109" i="24" s="1"/>
  <c r="H54" i="24"/>
  <c r="H109" i="24" s="1"/>
  <c r="I54" i="24"/>
  <c r="I109" i="24" s="1"/>
  <c r="J54" i="24"/>
  <c r="F19" i="24"/>
  <c r="H20" i="24"/>
  <c r="J20" i="24"/>
  <c r="F21" i="24"/>
  <c r="H22" i="24"/>
  <c r="J22" i="24"/>
  <c r="F23" i="24"/>
  <c r="I23" i="24" s="1"/>
  <c r="J23" i="24"/>
  <c r="H24" i="24"/>
  <c r="J24" i="24"/>
  <c r="F25" i="24"/>
  <c r="I25" i="24" s="1"/>
  <c r="J25" i="24"/>
  <c r="G28" i="24"/>
  <c r="G108" i="24" s="1"/>
  <c r="G113" i="24" s="1"/>
  <c r="G116" i="24" s="1"/>
  <c r="D76" i="23"/>
  <c r="D81" i="23"/>
  <c r="D79" i="23"/>
  <c r="F81" i="23"/>
  <c r="I81" i="23" s="1"/>
  <c r="J81" i="23" s="1"/>
  <c r="F79" i="23"/>
  <c r="I79" i="23" s="1"/>
  <c r="J79" i="23" s="1"/>
  <c r="F78" i="23"/>
  <c r="I78" i="23" s="1"/>
  <c r="J78" i="23" s="1"/>
  <c r="D77" i="23"/>
  <c r="D22" i="23"/>
  <c r="D21" i="23"/>
  <c r="D20" i="23"/>
  <c r="D19" i="23"/>
  <c r="H22" i="23"/>
  <c r="G22" i="23"/>
  <c r="H21" i="23"/>
  <c r="G21" i="23"/>
  <c r="H20" i="23"/>
  <c r="G20" i="23"/>
  <c r="H19" i="23"/>
  <c r="H24" i="23" s="1"/>
  <c r="G19" i="23"/>
  <c r="G24" i="23" s="1"/>
  <c r="E102" i="23"/>
  <c r="F94" i="23"/>
  <c r="I94" i="23" s="1"/>
  <c r="J94" i="23" s="1"/>
  <c r="F92" i="23"/>
  <c r="J92" i="23" s="1"/>
  <c r="F91" i="23"/>
  <c r="I91" i="23" s="1"/>
  <c r="H95" i="23"/>
  <c r="H96" i="23" s="1"/>
  <c r="H106" i="23" s="1"/>
  <c r="F90" i="23"/>
  <c r="H85" i="23"/>
  <c r="H86" i="23" s="1"/>
  <c r="H103" i="23" s="1"/>
  <c r="G85" i="23"/>
  <c r="G86" i="23" s="1"/>
  <c r="G103" i="23" s="1"/>
  <c r="F84" i="23"/>
  <c r="I84" i="23" s="1"/>
  <c r="J84" i="23" s="1"/>
  <c r="F83" i="23"/>
  <c r="I83" i="23" s="1"/>
  <c r="J83" i="23" s="1"/>
  <c r="F82" i="23"/>
  <c r="I82" i="23" s="1"/>
  <c r="J82" i="23" s="1"/>
  <c r="F77" i="23"/>
  <c r="I77" i="23" s="1"/>
  <c r="J77" i="23" s="1"/>
  <c r="F76" i="23"/>
  <c r="H71" i="23"/>
  <c r="H72" i="23" s="1"/>
  <c r="H102" i="23" s="1"/>
  <c r="G71" i="23"/>
  <c r="G72" i="23" s="1"/>
  <c r="G102" i="23" s="1"/>
  <c r="F70" i="23"/>
  <c r="I70" i="23" s="1"/>
  <c r="J70" i="23" s="1"/>
  <c r="H64" i="23"/>
  <c r="H101" i="23" s="1"/>
  <c r="G64" i="23"/>
  <c r="G101" i="23" s="1"/>
  <c r="G50" i="23"/>
  <c r="G51" i="23" s="1"/>
  <c r="G100" i="23" s="1"/>
  <c r="F49" i="23"/>
  <c r="F48" i="23"/>
  <c r="F47" i="23"/>
  <c r="F46" i="23"/>
  <c r="F45" i="23"/>
  <c r="F44" i="23"/>
  <c r="F43" i="23"/>
  <c r="F41" i="23"/>
  <c r="F39" i="23"/>
  <c r="H39" i="23" s="1"/>
  <c r="F38" i="23"/>
  <c r="F37" i="23"/>
  <c r="F36" i="23"/>
  <c r="F35" i="23"/>
  <c r="F34" i="23"/>
  <c r="H34" i="23" s="1"/>
  <c r="F33" i="23"/>
  <c r="F32" i="23"/>
  <c r="F31" i="23"/>
  <c r="F30" i="23"/>
  <c r="F22" i="23"/>
  <c r="I22" i="23" s="1"/>
  <c r="F21" i="23"/>
  <c r="I21" i="23" s="1"/>
  <c r="F20" i="23"/>
  <c r="I20" i="23" s="1"/>
  <c r="H25" i="23"/>
  <c r="H99" i="23" s="1"/>
  <c r="G25" i="23"/>
  <c r="G99" i="23" s="1"/>
  <c r="G104" i="23" s="1"/>
  <c r="F19" i="23"/>
  <c r="F24" i="23" s="1"/>
  <c r="F88" i="22"/>
  <c r="I88" i="22" s="1"/>
  <c r="J88" i="22" s="1"/>
  <c r="F87" i="22"/>
  <c r="I87" i="22" s="1"/>
  <c r="J87" i="22" s="1"/>
  <c r="F96" i="22"/>
  <c r="I96" i="22" s="1"/>
  <c r="F95" i="22"/>
  <c r="I95" i="22" s="1"/>
  <c r="E107" i="22"/>
  <c r="F99" i="22"/>
  <c r="I99" i="22" s="1"/>
  <c r="J99" i="22" s="1"/>
  <c r="H100" i="22"/>
  <c r="H101" i="22" s="1"/>
  <c r="H111" i="22" s="1"/>
  <c r="F100" i="22"/>
  <c r="F101" i="22" s="1"/>
  <c r="F111" i="22" s="1"/>
  <c r="H90" i="22"/>
  <c r="H91" i="22" s="1"/>
  <c r="H108" i="22" s="1"/>
  <c r="G90" i="22"/>
  <c r="G91" i="22" s="1"/>
  <c r="G108" i="22" s="1"/>
  <c r="F89" i="22"/>
  <c r="I89" i="22" s="1"/>
  <c r="J89" i="22" s="1"/>
  <c r="F86" i="22"/>
  <c r="I86" i="22" s="1"/>
  <c r="J86" i="22" s="1"/>
  <c r="F85" i="22"/>
  <c r="I85" i="22" s="1"/>
  <c r="J85" i="22" s="1"/>
  <c r="F84" i="22"/>
  <c r="I84" i="22" s="1"/>
  <c r="J84" i="22" s="1"/>
  <c r="F83" i="22"/>
  <c r="I83" i="22" s="1"/>
  <c r="J83" i="22" s="1"/>
  <c r="F82" i="22"/>
  <c r="I82" i="22" s="1"/>
  <c r="J82" i="22" s="1"/>
  <c r="F81" i="22"/>
  <c r="I81" i="22" s="1"/>
  <c r="J81" i="22" s="1"/>
  <c r="F80" i="22"/>
  <c r="I80" i="22" s="1"/>
  <c r="J80" i="22" s="1"/>
  <c r="F79" i="22"/>
  <c r="I79" i="22" s="1"/>
  <c r="J79" i="22" s="1"/>
  <c r="F78" i="22"/>
  <c r="I78" i="22" s="1"/>
  <c r="J78" i="22" s="1"/>
  <c r="F77" i="22"/>
  <c r="H72" i="22"/>
  <c r="H73" i="22" s="1"/>
  <c r="H107" i="22" s="1"/>
  <c r="G72" i="22"/>
  <c r="G73" i="22" s="1"/>
  <c r="G107" i="22" s="1"/>
  <c r="F71" i="22"/>
  <c r="I71" i="22" s="1"/>
  <c r="J71" i="22" s="1"/>
  <c r="H65" i="22"/>
  <c r="H66" i="22" s="1"/>
  <c r="H106" i="22" s="1"/>
  <c r="G65" i="22"/>
  <c r="G66" i="22" s="1"/>
  <c r="G106" i="22" s="1"/>
  <c r="G50" i="22"/>
  <c r="G51" i="22" s="1"/>
  <c r="G105" i="22" s="1"/>
  <c r="F49" i="22"/>
  <c r="F48" i="22"/>
  <c r="F47" i="22"/>
  <c r="F46" i="22"/>
  <c r="F45" i="22"/>
  <c r="F44" i="22"/>
  <c r="F43" i="22"/>
  <c r="F41" i="22"/>
  <c r="F39" i="22"/>
  <c r="F38" i="22"/>
  <c r="F37" i="22"/>
  <c r="F36" i="22"/>
  <c r="F35" i="22"/>
  <c r="F34" i="22"/>
  <c r="F33" i="22"/>
  <c r="F32" i="22"/>
  <c r="F31" i="22"/>
  <c r="F30" i="22"/>
  <c r="F22" i="22"/>
  <c r="I22" i="22" s="1"/>
  <c r="F21" i="22"/>
  <c r="I21" i="22" s="1"/>
  <c r="F20" i="22"/>
  <c r="I20" i="22" s="1"/>
  <c r="H25" i="22"/>
  <c r="H104" i="22" s="1"/>
  <c r="G25" i="22"/>
  <c r="G104" i="22" s="1"/>
  <c r="F19" i="22"/>
  <c r="F24" i="22" s="1"/>
  <c r="H108" i="21"/>
  <c r="J108" i="21" s="1"/>
  <c r="I107" i="21"/>
  <c r="H107" i="21"/>
  <c r="F107" i="21"/>
  <c r="H106" i="21"/>
  <c r="J106" i="21" s="1"/>
  <c r="I105" i="21"/>
  <c r="H105" i="21"/>
  <c r="F105" i="21"/>
  <c r="F87" i="21"/>
  <c r="I87" i="21" s="1"/>
  <c r="J87" i="21" s="1"/>
  <c r="F53" i="21"/>
  <c r="F52" i="21"/>
  <c r="F51" i="21"/>
  <c r="F46" i="21"/>
  <c r="F45" i="21"/>
  <c r="F44" i="21"/>
  <c r="F43" i="21"/>
  <c r="H43" i="21"/>
  <c r="I43" i="21"/>
  <c r="J43" i="21"/>
  <c r="F42" i="21"/>
  <c r="F41" i="21"/>
  <c r="H25" i="21"/>
  <c r="G25" i="21"/>
  <c r="H23" i="21"/>
  <c r="H21" i="21"/>
  <c r="G21" i="21"/>
  <c r="H19" i="21"/>
  <c r="G19" i="21"/>
  <c r="G27" i="21" s="1"/>
  <c r="F38" i="21"/>
  <c r="E119" i="21"/>
  <c r="F111" i="21"/>
  <c r="I111" i="21" s="1"/>
  <c r="J111" i="21" s="1"/>
  <c r="H112" i="21"/>
  <c r="H113" i="21" s="1"/>
  <c r="H123" i="21" s="1"/>
  <c r="F112" i="21"/>
  <c r="F113" i="21" s="1"/>
  <c r="F123" i="21" s="1"/>
  <c r="H100" i="21"/>
  <c r="H101" i="21" s="1"/>
  <c r="H120" i="21" s="1"/>
  <c r="G100" i="21"/>
  <c r="G101" i="21" s="1"/>
  <c r="G120" i="21" s="1"/>
  <c r="F99" i="21"/>
  <c r="I99" i="21" s="1"/>
  <c r="J99" i="21" s="1"/>
  <c r="I98" i="21"/>
  <c r="J98" i="21" s="1"/>
  <c r="I97" i="21"/>
  <c r="J97" i="21" s="1"/>
  <c r="I96" i="21"/>
  <c r="J96" i="21" s="1"/>
  <c r="I95" i="21"/>
  <c r="J95" i="21" s="1"/>
  <c r="I94" i="21"/>
  <c r="J94" i="21" s="1"/>
  <c r="F93" i="21"/>
  <c r="I93" i="21" s="1"/>
  <c r="J93" i="21" s="1"/>
  <c r="F92" i="21"/>
  <c r="I92" i="21" s="1"/>
  <c r="J92" i="21" s="1"/>
  <c r="F91" i="21"/>
  <c r="I91" i="21" s="1"/>
  <c r="J91" i="21" s="1"/>
  <c r="F90" i="21"/>
  <c r="I90" i="21" s="1"/>
  <c r="J90" i="21" s="1"/>
  <c r="F89" i="21"/>
  <c r="I89" i="21" s="1"/>
  <c r="J89" i="21" s="1"/>
  <c r="F88" i="21"/>
  <c r="I88" i="21" s="1"/>
  <c r="J88" i="21" s="1"/>
  <c r="F86" i="21"/>
  <c r="I86" i="21" s="1"/>
  <c r="J86" i="21" s="1"/>
  <c r="F85" i="21"/>
  <c r="H80" i="21"/>
  <c r="H81" i="21" s="1"/>
  <c r="H119" i="21" s="1"/>
  <c r="G80" i="21"/>
  <c r="G81" i="21" s="1"/>
  <c r="G119" i="21" s="1"/>
  <c r="F79" i="21"/>
  <c r="I79" i="21" s="1"/>
  <c r="J79" i="21" s="1"/>
  <c r="H73" i="21"/>
  <c r="H74" i="21" s="1"/>
  <c r="H118" i="21" s="1"/>
  <c r="G73" i="21"/>
  <c r="G74" i="21" s="1"/>
  <c r="G118" i="21" s="1"/>
  <c r="G58" i="21"/>
  <c r="G59" i="21" s="1"/>
  <c r="G117" i="21" s="1"/>
  <c r="F57" i="21"/>
  <c r="F56" i="21"/>
  <c r="F55" i="21"/>
  <c r="F54" i="21"/>
  <c r="F50" i="21"/>
  <c r="F49" i="21"/>
  <c r="F47" i="21"/>
  <c r="F40" i="21"/>
  <c r="F39" i="21"/>
  <c r="F37" i="21"/>
  <c r="F36" i="21"/>
  <c r="F35" i="21"/>
  <c r="F34" i="21"/>
  <c r="F33" i="21"/>
  <c r="F25" i="21"/>
  <c r="I25" i="21" s="1"/>
  <c r="H24" i="21"/>
  <c r="J24" i="21" s="1"/>
  <c r="F23" i="21"/>
  <c r="I23" i="21" s="1"/>
  <c r="H22" i="21"/>
  <c r="J22" i="21" s="1"/>
  <c r="F21" i="21"/>
  <c r="I21" i="21" s="1"/>
  <c r="H20" i="21"/>
  <c r="J20" i="21" s="1"/>
  <c r="G28" i="21"/>
  <c r="G116" i="21" s="1"/>
  <c r="G121" i="21" s="1"/>
  <c r="F19" i="21"/>
  <c r="F27" i="21" s="1"/>
  <c r="F45" i="20"/>
  <c r="F44" i="20"/>
  <c r="H44" i="20" s="1"/>
  <c r="I44" i="20" s="1"/>
  <c r="J44" i="20" s="1"/>
  <c r="F57" i="20"/>
  <c r="H57" i="20" s="1"/>
  <c r="I57" i="20" s="1"/>
  <c r="J57" i="20" s="1"/>
  <c r="H28" i="20"/>
  <c r="J28" i="20" s="1"/>
  <c r="H27" i="20"/>
  <c r="G27" i="20"/>
  <c r="F27" i="20"/>
  <c r="I27" i="20" s="1"/>
  <c r="F29" i="20"/>
  <c r="I29" i="20" s="1"/>
  <c r="H26" i="20"/>
  <c r="J26" i="20" s="1"/>
  <c r="H25" i="20"/>
  <c r="F25" i="20"/>
  <c r="I25" i="20" s="1"/>
  <c r="H23" i="20"/>
  <c r="G19" i="20"/>
  <c r="G31" i="20" s="1"/>
  <c r="H19" i="20"/>
  <c r="E112" i="20"/>
  <c r="F104" i="20"/>
  <c r="I104" i="20" s="1"/>
  <c r="J104" i="20" s="1"/>
  <c r="F102" i="20"/>
  <c r="H101" i="20"/>
  <c r="J101" i="20" s="1"/>
  <c r="H99" i="20"/>
  <c r="J99" i="20" s="1"/>
  <c r="H93" i="20"/>
  <c r="H94" i="20" s="1"/>
  <c r="H113" i="20" s="1"/>
  <c r="G93" i="20"/>
  <c r="G94" i="20" s="1"/>
  <c r="G113" i="20" s="1"/>
  <c r="F92" i="20"/>
  <c r="I92" i="20" s="1"/>
  <c r="J92" i="20" s="1"/>
  <c r="F91" i="20"/>
  <c r="I91" i="20" s="1"/>
  <c r="J91" i="20" s="1"/>
  <c r="F90" i="20"/>
  <c r="I90" i="20" s="1"/>
  <c r="J90" i="20" s="1"/>
  <c r="F89" i="20"/>
  <c r="I89" i="20" s="1"/>
  <c r="J89" i="20" s="1"/>
  <c r="F88" i="20"/>
  <c r="I88" i="20" s="1"/>
  <c r="J88" i="20" s="1"/>
  <c r="F87" i="20"/>
  <c r="H82" i="20"/>
  <c r="H83" i="20" s="1"/>
  <c r="H112" i="20" s="1"/>
  <c r="G82" i="20"/>
  <c r="G83" i="20" s="1"/>
  <c r="G112" i="20" s="1"/>
  <c r="F81" i="20"/>
  <c r="I81" i="20" s="1"/>
  <c r="J81" i="20" s="1"/>
  <c r="H74" i="20"/>
  <c r="H75" i="20" s="1"/>
  <c r="H111" i="20" s="1"/>
  <c r="G74" i="20"/>
  <c r="G75" i="20" s="1"/>
  <c r="G111" i="20" s="1"/>
  <c r="F73" i="20"/>
  <c r="I73" i="20" s="1"/>
  <c r="J73" i="20" s="1"/>
  <c r="F72" i="20"/>
  <c r="I72" i="20" s="1"/>
  <c r="J72" i="20" s="1"/>
  <c r="F71" i="20"/>
  <c r="I71" i="20" s="1"/>
  <c r="J71" i="20" s="1"/>
  <c r="G59" i="20"/>
  <c r="G60" i="20" s="1"/>
  <c r="G110" i="20" s="1"/>
  <c r="F58" i="20"/>
  <c r="F56" i="20"/>
  <c r="H56" i="20" s="1"/>
  <c r="I56" i="20" s="1"/>
  <c r="J56" i="20" s="1"/>
  <c r="F55" i="20"/>
  <c r="F54" i="20"/>
  <c r="F53" i="20"/>
  <c r="H53" i="20" s="1"/>
  <c r="I53" i="20" s="1"/>
  <c r="J53" i="20" s="1"/>
  <c r="F52" i="20"/>
  <c r="F51" i="20"/>
  <c r="F49" i="20"/>
  <c r="H49" i="20" s="1"/>
  <c r="I49" i="20" s="1"/>
  <c r="J49" i="20" s="1"/>
  <c r="F47" i="20"/>
  <c r="F46" i="20"/>
  <c r="F43" i="20"/>
  <c r="F42" i="20"/>
  <c r="F41" i="20"/>
  <c r="H41" i="20" s="1"/>
  <c r="I41" i="20" s="1"/>
  <c r="J41" i="20" s="1"/>
  <c r="F40" i="20"/>
  <c r="F39" i="20"/>
  <c r="F38" i="20"/>
  <c r="H38" i="20" s="1"/>
  <c r="I38" i="20" s="1"/>
  <c r="J38" i="20" s="1"/>
  <c r="F37" i="20"/>
  <c r="H24" i="20"/>
  <c r="J24" i="20" s="1"/>
  <c r="F23" i="20"/>
  <c r="I23" i="20" s="1"/>
  <c r="H22" i="20"/>
  <c r="J22" i="20" s="1"/>
  <c r="H20" i="20"/>
  <c r="J20" i="20" s="1"/>
  <c r="F19" i="20"/>
  <c r="H101" i="19"/>
  <c r="J101" i="19" s="1"/>
  <c r="G100" i="19"/>
  <c r="F100" i="19"/>
  <c r="I100" i="19" s="1"/>
  <c r="H99" i="19"/>
  <c r="J99" i="19" s="1"/>
  <c r="G98" i="19"/>
  <c r="F98" i="19"/>
  <c r="I98" i="19" s="1"/>
  <c r="G25" i="19"/>
  <c r="G23" i="19"/>
  <c r="G21" i="19"/>
  <c r="G19" i="19"/>
  <c r="G27" i="19" s="1"/>
  <c r="E112" i="19"/>
  <c r="F104" i="19"/>
  <c r="I104" i="19" s="1"/>
  <c r="J104" i="19" s="1"/>
  <c r="H93" i="19"/>
  <c r="H94" i="19" s="1"/>
  <c r="H113" i="19" s="1"/>
  <c r="G93" i="19"/>
  <c r="G94" i="19" s="1"/>
  <c r="G113" i="19" s="1"/>
  <c r="F92" i="19"/>
  <c r="I92" i="19" s="1"/>
  <c r="J92" i="19" s="1"/>
  <c r="F91" i="19"/>
  <c r="I91" i="19" s="1"/>
  <c r="J91" i="19" s="1"/>
  <c r="F90" i="19"/>
  <c r="I90" i="19" s="1"/>
  <c r="J90" i="19" s="1"/>
  <c r="F89" i="19"/>
  <c r="I89" i="19" s="1"/>
  <c r="J89" i="19" s="1"/>
  <c r="F88" i="19"/>
  <c r="I88" i="19" s="1"/>
  <c r="J88" i="19" s="1"/>
  <c r="F87" i="19"/>
  <c r="I87" i="19" s="1"/>
  <c r="J87" i="19" s="1"/>
  <c r="F86" i="19"/>
  <c r="I86" i="19" s="1"/>
  <c r="J86" i="19" s="1"/>
  <c r="F85" i="19"/>
  <c r="I85" i="19" s="1"/>
  <c r="J85" i="19" s="1"/>
  <c r="F84" i="19"/>
  <c r="I84" i="19" s="1"/>
  <c r="J84" i="19" s="1"/>
  <c r="F83" i="19"/>
  <c r="I83" i="19" s="1"/>
  <c r="J83" i="19" s="1"/>
  <c r="F82" i="19"/>
  <c r="F81" i="19"/>
  <c r="I81" i="19" s="1"/>
  <c r="H76" i="19"/>
  <c r="H77" i="19" s="1"/>
  <c r="H112" i="19" s="1"/>
  <c r="G76" i="19"/>
  <c r="G77" i="19" s="1"/>
  <c r="G112" i="19" s="1"/>
  <c r="F75" i="19"/>
  <c r="H68" i="19"/>
  <c r="H69" i="19" s="1"/>
  <c r="H111" i="19" s="1"/>
  <c r="G68" i="19"/>
  <c r="G69" i="19" s="1"/>
  <c r="G111" i="19" s="1"/>
  <c r="F68" i="19"/>
  <c r="F69" i="19" s="1"/>
  <c r="F111" i="19" s="1"/>
  <c r="F13" i="18" s="1"/>
  <c r="G53" i="19"/>
  <c r="G54" i="19" s="1"/>
  <c r="G110" i="19" s="1"/>
  <c r="F52" i="19"/>
  <c r="F51" i="19"/>
  <c r="H51" i="19" s="1"/>
  <c r="I51" i="19" s="1"/>
  <c r="J51" i="19" s="1"/>
  <c r="F50" i="19"/>
  <c r="H50" i="19" s="1"/>
  <c r="F49" i="19"/>
  <c r="F48" i="19"/>
  <c r="H48" i="19" s="1"/>
  <c r="I48" i="19" s="1"/>
  <c r="J48" i="19" s="1"/>
  <c r="F47" i="19"/>
  <c r="H47" i="19" s="1"/>
  <c r="F46" i="19"/>
  <c r="H46" i="19" s="1"/>
  <c r="I46" i="19" s="1"/>
  <c r="J46" i="19" s="1"/>
  <c r="F44" i="19"/>
  <c r="H44" i="19" s="1"/>
  <c r="I44" i="19" s="1"/>
  <c r="J44" i="19" s="1"/>
  <c r="F42" i="19"/>
  <c r="F41" i="19"/>
  <c r="F40" i="19"/>
  <c r="H40" i="19" s="1"/>
  <c r="I40" i="19" s="1"/>
  <c r="J40" i="19" s="1"/>
  <c r="F39" i="19"/>
  <c r="F38" i="19"/>
  <c r="F37" i="19"/>
  <c r="H37" i="19" s="1"/>
  <c r="I37" i="19" s="1"/>
  <c r="J37" i="19" s="1"/>
  <c r="F36" i="19"/>
  <c r="H36" i="19" s="1"/>
  <c r="F35" i="19"/>
  <c r="F34" i="19"/>
  <c r="H34" i="19" s="1"/>
  <c r="I34" i="19" s="1"/>
  <c r="J34" i="19" s="1"/>
  <c r="F33" i="19"/>
  <c r="H33" i="19" s="1"/>
  <c r="F25" i="19"/>
  <c r="I25" i="19" s="1"/>
  <c r="H24" i="19"/>
  <c r="J24" i="19" s="1"/>
  <c r="F23" i="19"/>
  <c r="I23" i="19" s="1"/>
  <c r="H22" i="19"/>
  <c r="J22" i="19" s="1"/>
  <c r="F21" i="19"/>
  <c r="I21" i="19" s="1"/>
  <c r="H20" i="19"/>
  <c r="J20" i="19" s="1"/>
  <c r="F19" i="19"/>
  <c r="D14" i="18"/>
  <c r="I102" i="24" l="1"/>
  <c r="J102" i="24"/>
  <c r="I19" i="20"/>
  <c r="I31" i="20" s="1"/>
  <c r="F31" i="20"/>
  <c r="H31" i="20"/>
  <c r="I19" i="24"/>
  <c r="F27" i="24"/>
  <c r="F28" i="24" s="1"/>
  <c r="F108" i="24" s="1"/>
  <c r="H27" i="24"/>
  <c r="H28" i="24" s="1"/>
  <c r="H108" i="24" s="1"/>
  <c r="H113" i="24" s="1"/>
  <c r="H116" i="24" s="1"/>
  <c r="I19" i="27"/>
  <c r="F27" i="27"/>
  <c r="H27" i="27"/>
  <c r="H28" i="27" s="1"/>
  <c r="H109" i="27" s="1"/>
  <c r="G27" i="28"/>
  <c r="G28" i="28" s="1"/>
  <c r="G109" i="28" s="1"/>
  <c r="G114" i="28" s="1"/>
  <c r="H27" i="28"/>
  <c r="H28" i="28" s="1"/>
  <c r="H109" i="28" s="1"/>
  <c r="I19" i="26"/>
  <c r="F27" i="26"/>
  <c r="H27" i="26"/>
  <c r="H28" i="26" s="1"/>
  <c r="H106" i="26" s="1"/>
  <c r="I19" i="25"/>
  <c r="F27" i="25"/>
  <c r="H27" i="25"/>
  <c r="H28" i="25" s="1"/>
  <c r="H112" i="25" s="1"/>
  <c r="I19" i="19"/>
  <c r="I27" i="19" s="1"/>
  <c r="F27" i="19"/>
  <c r="H27" i="19"/>
  <c r="H27" i="21"/>
  <c r="H28" i="21" s="1"/>
  <c r="H116" i="21" s="1"/>
  <c r="J63" i="23"/>
  <c r="I63" i="23"/>
  <c r="F63" i="23"/>
  <c r="H27" i="29"/>
  <c r="H28" i="29" s="1"/>
  <c r="H99" i="29" s="1"/>
  <c r="L11" i="18"/>
  <c r="L12" i="18"/>
  <c r="L16" i="18"/>
  <c r="I21" i="27"/>
  <c r="F95" i="23"/>
  <c r="F96" i="23" s="1"/>
  <c r="F106" i="23" s="1"/>
  <c r="O16" i="18" s="1"/>
  <c r="I90" i="23"/>
  <c r="F28" i="29"/>
  <c r="F99" i="29" s="1"/>
  <c r="M11" i="18" s="1"/>
  <c r="F53" i="29"/>
  <c r="F54" i="29" s="1"/>
  <c r="F100" i="29" s="1"/>
  <c r="H33" i="29"/>
  <c r="H34" i="29"/>
  <c r="I34" i="29" s="1"/>
  <c r="J34" i="29" s="1"/>
  <c r="H35" i="29"/>
  <c r="I35" i="29" s="1"/>
  <c r="J35" i="29" s="1"/>
  <c r="H36" i="29"/>
  <c r="I36" i="29" s="1"/>
  <c r="J36" i="29" s="1"/>
  <c r="H37" i="29"/>
  <c r="I37" i="29" s="1"/>
  <c r="J37" i="29" s="1"/>
  <c r="H38" i="29"/>
  <c r="I38" i="29" s="1"/>
  <c r="J38" i="29" s="1"/>
  <c r="H39" i="29"/>
  <c r="I39" i="29" s="1"/>
  <c r="J39" i="29" s="1"/>
  <c r="H40" i="29"/>
  <c r="I40" i="29" s="1"/>
  <c r="J40" i="29" s="1"/>
  <c r="H41" i="29"/>
  <c r="I41" i="29" s="1"/>
  <c r="J41" i="29" s="1"/>
  <c r="H42" i="29"/>
  <c r="I42" i="29" s="1"/>
  <c r="J42" i="29" s="1"/>
  <c r="H43" i="29"/>
  <c r="I43" i="29" s="1"/>
  <c r="J43" i="29" s="1"/>
  <c r="H44" i="29"/>
  <c r="I44" i="29" s="1"/>
  <c r="J44" i="29" s="1"/>
  <c r="H46" i="29"/>
  <c r="I46" i="29" s="1"/>
  <c r="J46" i="29" s="1"/>
  <c r="H47" i="29"/>
  <c r="I47" i="29" s="1"/>
  <c r="J47" i="29" s="1"/>
  <c r="H48" i="29"/>
  <c r="I48" i="29" s="1"/>
  <c r="J48" i="29" s="1"/>
  <c r="H49" i="29"/>
  <c r="I49" i="29" s="1"/>
  <c r="J49" i="29" s="1"/>
  <c r="H50" i="29"/>
  <c r="I50" i="29" s="1"/>
  <c r="J50" i="29" s="1"/>
  <c r="H51" i="29"/>
  <c r="I51" i="29" s="1"/>
  <c r="J51" i="29" s="1"/>
  <c r="H52" i="29"/>
  <c r="I52" i="29" s="1"/>
  <c r="J52" i="29" s="1"/>
  <c r="F65" i="29"/>
  <c r="F66" i="29" s="1"/>
  <c r="F101" i="29" s="1"/>
  <c r="M13" i="18" s="1"/>
  <c r="F73" i="29"/>
  <c r="F74" i="29" s="1"/>
  <c r="F102" i="29" s="1"/>
  <c r="F83" i="29"/>
  <c r="F84" i="29" s="1"/>
  <c r="F103" i="29" s="1"/>
  <c r="M14" i="18" s="1"/>
  <c r="I78" i="29"/>
  <c r="F95" i="29"/>
  <c r="F96" i="29" s="1"/>
  <c r="F106" i="29" s="1"/>
  <c r="M16" i="18" s="1"/>
  <c r="L13" i="18"/>
  <c r="L14" i="18"/>
  <c r="I21" i="24"/>
  <c r="I97" i="24"/>
  <c r="I99" i="24"/>
  <c r="J99" i="24" s="1"/>
  <c r="I100" i="27"/>
  <c r="I98" i="27"/>
  <c r="F28" i="28"/>
  <c r="F109" i="28" s="1"/>
  <c r="J11" i="18" s="1"/>
  <c r="I19" i="28"/>
  <c r="I27" i="28" s="1"/>
  <c r="F57" i="28"/>
  <c r="F58" i="28" s="1"/>
  <c r="F110" i="28" s="1"/>
  <c r="H33" i="28"/>
  <c r="H34" i="28"/>
  <c r="I34" i="28" s="1"/>
  <c r="J34" i="28" s="1"/>
  <c r="H35" i="28"/>
  <c r="I35" i="28" s="1"/>
  <c r="J35" i="28" s="1"/>
  <c r="H36" i="28"/>
  <c r="I36" i="28" s="1"/>
  <c r="J36" i="28" s="1"/>
  <c r="H37" i="28"/>
  <c r="I37" i="28" s="1"/>
  <c r="J37" i="28" s="1"/>
  <c r="H38" i="28"/>
  <c r="I38" i="28" s="1"/>
  <c r="J38" i="28" s="1"/>
  <c r="H39" i="28"/>
  <c r="I39" i="28" s="1"/>
  <c r="J39" i="28" s="1"/>
  <c r="H40" i="28"/>
  <c r="I40" i="28" s="1"/>
  <c r="J40" i="28" s="1"/>
  <c r="H41" i="28"/>
  <c r="I41" i="28" s="1"/>
  <c r="J41" i="28" s="1"/>
  <c r="H42" i="28"/>
  <c r="I42" i="28" s="1"/>
  <c r="J42" i="28" s="1"/>
  <c r="H43" i="28"/>
  <c r="I43" i="28" s="1"/>
  <c r="J43" i="28" s="1"/>
  <c r="H44" i="28"/>
  <c r="I44" i="28" s="1"/>
  <c r="J44" i="28" s="1"/>
  <c r="H46" i="28"/>
  <c r="I46" i="28" s="1"/>
  <c r="J46" i="28" s="1"/>
  <c r="H48" i="28"/>
  <c r="I48" i="28" s="1"/>
  <c r="J48" i="28" s="1"/>
  <c r="H49" i="28"/>
  <c r="I49" i="28" s="1"/>
  <c r="J49" i="28" s="1"/>
  <c r="H50" i="28"/>
  <c r="I50" i="28" s="1"/>
  <c r="J50" i="28" s="1"/>
  <c r="H51" i="28"/>
  <c r="I51" i="28" s="1"/>
  <c r="J51" i="28" s="1"/>
  <c r="H52" i="28"/>
  <c r="I52" i="28" s="1"/>
  <c r="J52" i="28" s="1"/>
  <c r="H53" i="28"/>
  <c r="I53" i="28" s="1"/>
  <c r="J53" i="28" s="1"/>
  <c r="H54" i="28"/>
  <c r="I54" i="28" s="1"/>
  <c r="J54" i="28" s="1"/>
  <c r="H55" i="28"/>
  <c r="I55" i="28" s="1"/>
  <c r="J55" i="28" s="1"/>
  <c r="H56" i="28"/>
  <c r="I56" i="28" s="1"/>
  <c r="J56" i="28" s="1"/>
  <c r="F72" i="28"/>
  <c r="F73" i="28" s="1"/>
  <c r="F111" i="28" s="1"/>
  <c r="J13" i="18" s="1"/>
  <c r="F80" i="28"/>
  <c r="F81" i="28" s="1"/>
  <c r="F112" i="28" s="1"/>
  <c r="F93" i="28"/>
  <c r="F94" i="28" s="1"/>
  <c r="F113" i="28" s="1"/>
  <c r="J14" i="18" s="1"/>
  <c r="I85" i="28"/>
  <c r="F105" i="28"/>
  <c r="F106" i="28" s="1"/>
  <c r="F116" i="28" s="1"/>
  <c r="I98" i="28"/>
  <c r="H54" i="27"/>
  <c r="I54" i="27"/>
  <c r="J54" i="27" s="1"/>
  <c r="H44" i="27"/>
  <c r="I44" i="27"/>
  <c r="J44" i="27" s="1"/>
  <c r="H51" i="27"/>
  <c r="I51" i="27"/>
  <c r="J51" i="27" s="1"/>
  <c r="H41" i="27"/>
  <c r="I41" i="27" s="1"/>
  <c r="J41" i="27" s="1"/>
  <c r="H40" i="27"/>
  <c r="I40" i="27" s="1"/>
  <c r="J40" i="27" s="1"/>
  <c r="J23" i="27"/>
  <c r="J100" i="27"/>
  <c r="J25" i="27"/>
  <c r="J21" i="27"/>
  <c r="F28" i="27"/>
  <c r="F109" i="27" s="1"/>
  <c r="K11" i="18" s="1"/>
  <c r="F57" i="27"/>
  <c r="F58" i="27" s="1"/>
  <c r="F110" i="27" s="1"/>
  <c r="H33" i="27"/>
  <c r="H34" i="27"/>
  <c r="I34" i="27" s="1"/>
  <c r="J34" i="27" s="1"/>
  <c r="H35" i="27"/>
  <c r="I35" i="27" s="1"/>
  <c r="J35" i="27" s="1"/>
  <c r="H36" i="27"/>
  <c r="I36" i="27" s="1"/>
  <c r="J36" i="27" s="1"/>
  <c r="H37" i="27"/>
  <c r="I37" i="27" s="1"/>
  <c r="J37" i="27" s="1"/>
  <c r="H38" i="27"/>
  <c r="I38" i="27" s="1"/>
  <c r="J38" i="27" s="1"/>
  <c r="H39" i="27"/>
  <c r="I39" i="27" s="1"/>
  <c r="J39" i="27" s="1"/>
  <c r="H42" i="27"/>
  <c r="I42" i="27" s="1"/>
  <c r="J42" i="27" s="1"/>
  <c r="H43" i="27"/>
  <c r="I43" i="27" s="1"/>
  <c r="J43" i="27" s="1"/>
  <c r="H46" i="27"/>
  <c r="I46" i="27" s="1"/>
  <c r="J46" i="27" s="1"/>
  <c r="H48" i="27"/>
  <c r="I48" i="27" s="1"/>
  <c r="J48" i="27" s="1"/>
  <c r="H49" i="27"/>
  <c r="I49" i="27" s="1"/>
  <c r="J49" i="27" s="1"/>
  <c r="H50" i="27"/>
  <c r="I50" i="27" s="1"/>
  <c r="J50" i="27" s="1"/>
  <c r="H52" i="27"/>
  <c r="I52" i="27" s="1"/>
  <c r="J52" i="27" s="1"/>
  <c r="H53" i="27"/>
  <c r="I53" i="27" s="1"/>
  <c r="J53" i="27" s="1"/>
  <c r="H55" i="27"/>
  <c r="I55" i="27" s="1"/>
  <c r="J55" i="27" s="1"/>
  <c r="H56" i="27"/>
  <c r="I56" i="27" s="1"/>
  <c r="J56" i="27" s="1"/>
  <c r="F72" i="27"/>
  <c r="F73" i="27" s="1"/>
  <c r="F111" i="27" s="1"/>
  <c r="K13" i="18" s="1"/>
  <c r="F80" i="27"/>
  <c r="F81" i="27" s="1"/>
  <c r="F112" i="27" s="1"/>
  <c r="F93" i="27"/>
  <c r="F94" i="27" s="1"/>
  <c r="F113" i="27" s="1"/>
  <c r="K14" i="18" s="1"/>
  <c r="I85" i="27"/>
  <c r="F105" i="27"/>
  <c r="F106" i="27" s="1"/>
  <c r="F116" i="27" s="1"/>
  <c r="I21" i="26"/>
  <c r="J21" i="26" s="1"/>
  <c r="I25" i="26"/>
  <c r="J25" i="26" s="1"/>
  <c r="I23" i="26"/>
  <c r="J23" i="26" s="1"/>
  <c r="F28" i="26"/>
  <c r="F106" i="26" s="1"/>
  <c r="I11" i="18" s="1"/>
  <c r="F53" i="26"/>
  <c r="F54" i="26" s="1"/>
  <c r="F107" i="26" s="1"/>
  <c r="H33" i="26"/>
  <c r="H34" i="26"/>
  <c r="I34" i="26" s="1"/>
  <c r="J34" i="26" s="1"/>
  <c r="H35" i="26"/>
  <c r="I35" i="26" s="1"/>
  <c r="J35" i="26" s="1"/>
  <c r="H36" i="26"/>
  <c r="I36" i="26" s="1"/>
  <c r="J36" i="26" s="1"/>
  <c r="H37" i="26"/>
  <c r="I37" i="26" s="1"/>
  <c r="J37" i="26" s="1"/>
  <c r="H38" i="26"/>
  <c r="I38" i="26" s="1"/>
  <c r="J38" i="26" s="1"/>
  <c r="H39" i="26"/>
  <c r="I39" i="26" s="1"/>
  <c r="J39" i="26" s="1"/>
  <c r="H40" i="26"/>
  <c r="I40" i="26" s="1"/>
  <c r="J40" i="26" s="1"/>
  <c r="H41" i="26"/>
  <c r="I41" i="26" s="1"/>
  <c r="J41" i="26" s="1"/>
  <c r="H42" i="26"/>
  <c r="I42" i="26" s="1"/>
  <c r="J42" i="26" s="1"/>
  <c r="H44" i="26"/>
  <c r="I44" i="26" s="1"/>
  <c r="J44" i="26" s="1"/>
  <c r="H46" i="26"/>
  <c r="I46" i="26" s="1"/>
  <c r="J46" i="26" s="1"/>
  <c r="H47" i="26"/>
  <c r="I47" i="26" s="1"/>
  <c r="J47" i="26" s="1"/>
  <c r="H48" i="26"/>
  <c r="I48" i="26" s="1"/>
  <c r="J48" i="26" s="1"/>
  <c r="H49" i="26"/>
  <c r="I49" i="26" s="1"/>
  <c r="J49" i="26" s="1"/>
  <c r="H50" i="26"/>
  <c r="I50" i="26" s="1"/>
  <c r="J50" i="26" s="1"/>
  <c r="H51" i="26"/>
  <c r="I51" i="26" s="1"/>
  <c r="J51" i="26" s="1"/>
  <c r="H52" i="26"/>
  <c r="I52" i="26" s="1"/>
  <c r="J52" i="26" s="1"/>
  <c r="F68" i="26"/>
  <c r="F69" i="26" s="1"/>
  <c r="F108" i="26" s="1"/>
  <c r="F76" i="26"/>
  <c r="F77" i="26" s="1"/>
  <c r="F109" i="26" s="1"/>
  <c r="F90" i="26"/>
  <c r="F91" i="26" s="1"/>
  <c r="F110" i="26" s="1"/>
  <c r="I14" i="18" s="1"/>
  <c r="I81" i="26"/>
  <c r="F102" i="26"/>
  <c r="F103" i="26" s="1"/>
  <c r="F113" i="26" s="1"/>
  <c r="I95" i="26"/>
  <c r="I21" i="25"/>
  <c r="J21" i="25" s="1"/>
  <c r="I25" i="25"/>
  <c r="J25" i="25" s="1"/>
  <c r="I23" i="25"/>
  <c r="J23" i="25" s="1"/>
  <c r="F28" i="25"/>
  <c r="F112" i="25" s="1"/>
  <c r="H11" i="18" s="1"/>
  <c r="F53" i="25"/>
  <c r="F54" i="25" s="1"/>
  <c r="F113" i="25" s="1"/>
  <c r="H33" i="25"/>
  <c r="H34" i="25"/>
  <c r="I34" i="25" s="1"/>
  <c r="J34" i="25" s="1"/>
  <c r="H35" i="25"/>
  <c r="I35" i="25" s="1"/>
  <c r="J35" i="25" s="1"/>
  <c r="H36" i="25"/>
  <c r="I36" i="25" s="1"/>
  <c r="J36" i="25" s="1"/>
  <c r="H37" i="25"/>
  <c r="I37" i="25" s="1"/>
  <c r="J37" i="25" s="1"/>
  <c r="H38" i="25"/>
  <c r="I38" i="25" s="1"/>
  <c r="J38" i="25" s="1"/>
  <c r="H39" i="25"/>
  <c r="I39" i="25" s="1"/>
  <c r="J39" i="25" s="1"/>
  <c r="H40" i="25"/>
  <c r="I40" i="25" s="1"/>
  <c r="J40" i="25" s="1"/>
  <c r="H41" i="25"/>
  <c r="I41" i="25" s="1"/>
  <c r="J41" i="25" s="1"/>
  <c r="H42" i="25"/>
  <c r="I42" i="25" s="1"/>
  <c r="J42" i="25" s="1"/>
  <c r="H44" i="25"/>
  <c r="I44" i="25" s="1"/>
  <c r="J44" i="25" s="1"/>
  <c r="H46" i="25"/>
  <c r="I46" i="25" s="1"/>
  <c r="J46" i="25" s="1"/>
  <c r="H47" i="25"/>
  <c r="I47" i="25" s="1"/>
  <c r="J47" i="25" s="1"/>
  <c r="H48" i="25"/>
  <c r="I48" i="25" s="1"/>
  <c r="J48" i="25" s="1"/>
  <c r="H49" i="25"/>
  <c r="I49" i="25" s="1"/>
  <c r="J49" i="25" s="1"/>
  <c r="H50" i="25"/>
  <c r="I50" i="25" s="1"/>
  <c r="J50" i="25" s="1"/>
  <c r="H51" i="25"/>
  <c r="I51" i="25" s="1"/>
  <c r="J51" i="25" s="1"/>
  <c r="H52" i="25"/>
  <c r="I52" i="25" s="1"/>
  <c r="J52" i="25" s="1"/>
  <c r="F68" i="25"/>
  <c r="F69" i="25" s="1"/>
  <c r="F114" i="25" s="1"/>
  <c r="F76" i="25"/>
  <c r="F77" i="25" s="1"/>
  <c r="F115" i="25" s="1"/>
  <c r="F96" i="25"/>
  <c r="F97" i="25" s="1"/>
  <c r="F116" i="25" s="1"/>
  <c r="H14" i="18" s="1"/>
  <c r="I81" i="25"/>
  <c r="F108" i="25"/>
  <c r="F109" i="25" s="1"/>
  <c r="F119" i="25" s="1"/>
  <c r="I101" i="25"/>
  <c r="F25" i="22"/>
  <c r="F104" i="22" s="1"/>
  <c r="I19" i="22"/>
  <c r="I24" i="22" s="1"/>
  <c r="G109" i="22"/>
  <c r="G11" i="18"/>
  <c r="J23" i="19"/>
  <c r="F28" i="21"/>
  <c r="F116" i="21" s="1"/>
  <c r="C11" i="18" s="1"/>
  <c r="I19" i="21"/>
  <c r="I27" i="21" s="1"/>
  <c r="H45" i="23"/>
  <c r="I45" i="23"/>
  <c r="J109" i="24"/>
  <c r="J110" i="24"/>
  <c r="J76" i="24"/>
  <c r="J77" i="24" s="1"/>
  <c r="I76" i="24"/>
  <c r="I77" i="24" s="1"/>
  <c r="I111" i="24" s="1"/>
  <c r="F76" i="24"/>
  <c r="F77" i="24" s="1"/>
  <c r="F111" i="24" s="1"/>
  <c r="J112" i="24"/>
  <c r="F25" i="23"/>
  <c r="F99" i="23" s="1"/>
  <c r="O11" i="18" s="1"/>
  <c r="I19" i="23"/>
  <c r="I24" i="23" s="1"/>
  <c r="I25" i="23"/>
  <c r="I99" i="23" s="1"/>
  <c r="J19" i="23"/>
  <c r="J20" i="23"/>
  <c r="J21" i="23"/>
  <c r="J22" i="23"/>
  <c r="F50" i="23"/>
  <c r="F51" i="23" s="1"/>
  <c r="F100" i="23" s="1"/>
  <c r="O12" i="18" s="1"/>
  <c r="H30" i="23"/>
  <c r="H31" i="23"/>
  <c r="I31" i="23" s="1"/>
  <c r="J31" i="23" s="1"/>
  <c r="H32" i="23"/>
  <c r="I32" i="23" s="1"/>
  <c r="J32" i="23" s="1"/>
  <c r="H33" i="23"/>
  <c r="I33" i="23" s="1"/>
  <c r="J33" i="23" s="1"/>
  <c r="I34" i="23"/>
  <c r="J34" i="23" s="1"/>
  <c r="H35" i="23"/>
  <c r="I35" i="23" s="1"/>
  <c r="J35" i="23" s="1"/>
  <c r="H36" i="23"/>
  <c r="I36" i="23" s="1"/>
  <c r="J36" i="23" s="1"/>
  <c r="H37" i="23"/>
  <c r="I37" i="23" s="1"/>
  <c r="J37" i="23" s="1"/>
  <c r="H38" i="23"/>
  <c r="I38" i="23" s="1"/>
  <c r="J38" i="23" s="1"/>
  <c r="I39" i="23"/>
  <c r="J39" i="23" s="1"/>
  <c r="H41" i="23"/>
  <c r="I41" i="23" s="1"/>
  <c r="J41" i="23" s="1"/>
  <c r="H43" i="23"/>
  <c r="I43" i="23" s="1"/>
  <c r="J43" i="23" s="1"/>
  <c r="H44" i="23"/>
  <c r="I44" i="23" s="1"/>
  <c r="J44" i="23" s="1"/>
  <c r="J45" i="23"/>
  <c r="H46" i="23"/>
  <c r="I46" i="23" s="1"/>
  <c r="J46" i="23" s="1"/>
  <c r="H47" i="23"/>
  <c r="I47" i="23" s="1"/>
  <c r="J47" i="23" s="1"/>
  <c r="H48" i="23"/>
  <c r="I48" i="23" s="1"/>
  <c r="J48" i="23" s="1"/>
  <c r="H49" i="23"/>
  <c r="I49" i="23" s="1"/>
  <c r="J49" i="23" s="1"/>
  <c r="F64" i="23"/>
  <c r="F101" i="23" s="1"/>
  <c r="O13" i="18" s="1"/>
  <c r="F71" i="23"/>
  <c r="F72" i="23" s="1"/>
  <c r="F102" i="23" s="1"/>
  <c r="F85" i="23"/>
  <c r="F86" i="23" s="1"/>
  <c r="F103" i="23" s="1"/>
  <c r="I76" i="23"/>
  <c r="J90" i="23"/>
  <c r="J91" i="23"/>
  <c r="J96" i="22"/>
  <c r="J95" i="22"/>
  <c r="I25" i="22"/>
  <c r="I104" i="22" s="1"/>
  <c r="J19" i="22"/>
  <c r="J20" i="22"/>
  <c r="J21" i="22"/>
  <c r="J22" i="22"/>
  <c r="F50" i="22"/>
  <c r="F51" i="22" s="1"/>
  <c r="F105" i="22" s="1"/>
  <c r="H30" i="22"/>
  <c r="H31" i="22"/>
  <c r="I31" i="22" s="1"/>
  <c r="J31" i="22" s="1"/>
  <c r="H32" i="22"/>
  <c r="I32" i="22" s="1"/>
  <c r="J32" i="22" s="1"/>
  <c r="H33" i="22"/>
  <c r="I33" i="22" s="1"/>
  <c r="J33" i="22" s="1"/>
  <c r="H34" i="22"/>
  <c r="I34" i="22" s="1"/>
  <c r="J34" i="22" s="1"/>
  <c r="H35" i="22"/>
  <c r="I35" i="22" s="1"/>
  <c r="J35" i="22" s="1"/>
  <c r="H36" i="22"/>
  <c r="I36" i="22" s="1"/>
  <c r="J36" i="22" s="1"/>
  <c r="H37" i="22"/>
  <c r="I37" i="22" s="1"/>
  <c r="J37" i="22" s="1"/>
  <c r="H38" i="22"/>
  <c r="I38" i="22" s="1"/>
  <c r="J38" i="22" s="1"/>
  <c r="H39" i="22"/>
  <c r="I39" i="22" s="1"/>
  <c r="J39" i="22" s="1"/>
  <c r="H41" i="22"/>
  <c r="I41" i="22" s="1"/>
  <c r="J41" i="22" s="1"/>
  <c r="H43" i="22"/>
  <c r="I43" i="22" s="1"/>
  <c r="J43" i="22" s="1"/>
  <c r="H44" i="22"/>
  <c r="I44" i="22" s="1"/>
  <c r="J44" i="22" s="1"/>
  <c r="H45" i="22"/>
  <c r="I45" i="22" s="1"/>
  <c r="J45" i="22" s="1"/>
  <c r="H46" i="22"/>
  <c r="I46" i="22" s="1"/>
  <c r="J46" i="22" s="1"/>
  <c r="H47" i="22"/>
  <c r="I47" i="22" s="1"/>
  <c r="J47" i="22" s="1"/>
  <c r="H48" i="22"/>
  <c r="I48" i="22" s="1"/>
  <c r="J48" i="22" s="1"/>
  <c r="H49" i="22"/>
  <c r="I49" i="22" s="1"/>
  <c r="J49" i="22" s="1"/>
  <c r="F65" i="22"/>
  <c r="F66" i="22" s="1"/>
  <c r="F106" i="22" s="1"/>
  <c r="G13" i="18" s="1"/>
  <c r="F72" i="22"/>
  <c r="F73" i="22" s="1"/>
  <c r="F107" i="22" s="1"/>
  <c r="F90" i="22"/>
  <c r="F91" i="22" s="1"/>
  <c r="F108" i="22" s="1"/>
  <c r="G14" i="18" s="1"/>
  <c r="I77" i="22"/>
  <c r="J107" i="21"/>
  <c r="J105" i="21"/>
  <c r="H52" i="21"/>
  <c r="I52" i="21" s="1"/>
  <c r="J52" i="21" s="1"/>
  <c r="H53" i="21"/>
  <c r="I53" i="21" s="1"/>
  <c r="J53" i="21" s="1"/>
  <c r="H51" i="21"/>
  <c r="I51" i="21" s="1"/>
  <c r="J51" i="21" s="1"/>
  <c r="H46" i="21"/>
  <c r="I46" i="21" s="1"/>
  <c r="J46" i="21" s="1"/>
  <c r="H44" i="21"/>
  <c r="I44" i="21" s="1"/>
  <c r="J44" i="21" s="1"/>
  <c r="H45" i="21"/>
  <c r="I45" i="21" s="1"/>
  <c r="J45" i="21" s="1"/>
  <c r="H42" i="21"/>
  <c r="I42" i="21" s="1"/>
  <c r="J42" i="21" s="1"/>
  <c r="H41" i="21"/>
  <c r="I41" i="21" s="1"/>
  <c r="J41" i="21" s="1"/>
  <c r="H38" i="21"/>
  <c r="I38" i="21" s="1"/>
  <c r="J38" i="21" s="1"/>
  <c r="I28" i="21"/>
  <c r="I116" i="21" s="1"/>
  <c r="J19" i="21"/>
  <c r="J21" i="21"/>
  <c r="J23" i="21"/>
  <c r="J25" i="21"/>
  <c r="F58" i="21"/>
  <c r="F59" i="21" s="1"/>
  <c r="H33" i="21"/>
  <c r="H34" i="21"/>
  <c r="I34" i="21" s="1"/>
  <c r="J34" i="21" s="1"/>
  <c r="H35" i="21"/>
  <c r="I35" i="21" s="1"/>
  <c r="J35" i="21" s="1"/>
  <c r="H36" i="21"/>
  <c r="I36" i="21" s="1"/>
  <c r="J36" i="21" s="1"/>
  <c r="H37" i="21"/>
  <c r="I37" i="21" s="1"/>
  <c r="J37" i="21" s="1"/>
  <c r="H39" i="21"/>
  <c r="I39" i="21" s="1"/>
  <c r="J39" i="21" s="1"/>
  <c r="H40" i="21"/>
  <c r="I40" i="21" s="1"/>
  <c r="J40" i="21" s="1"/>
  <c r="H47" i="21"/>
  <c r="I47" i="21" s="1"/>
  <c r="J47" i="21" s="1"/>
  <c r="H49" i="21"/>
  <c r="I49" i="21" s="1"/>
  <c r="J49" i="21" s="1"/>
  <c r="H50" i="21"/>
  <c r="I50" i="21" s="1"/>
  <c r="J50" i="21" s="1"/>
  <c r="H54" i="21"/>
  <c r="I54" i="21" s="1"/>
  <c r="J54" i="21" s="1"/>
  <c r="H55" i="21"/>
  <c r="I55" i="21" s="1"/>
  <c r="J55" i="21" s="1"/>
  <c r="H56" i="21"/>
  <c r="I56" i="21" s="1"/>
  <c r="J56" i="21" s="1"/>
  <c r="H57" i="21"/>
  <c r="I57" i="21" s="1"/>
  <c r="J57" i="21" s="1"/>
  <c r="F73" i="21"/>
  <c r="F74" i="21" s="1"/>
  <c r="F118" i="21" s="1"/>
  <c r="F80" i="21"/>
  <c r="F81" i="21" s="1"/>
  <c r="F119" i="21" s="1"/>
  <c r="F100" i="21"/>
  <c r="F101" i="21" s="1"/>
  <c r="I85" i="21"/>
  <c r="H45" i="20"/>
  <c r="I45" i="20" s="1"/>
  <c r="J45" i="20" s="1"/>
  <c r="J100" i="19"/>
  <c r="J27" i="20"/>
  <c r="J29" i="20"/>
  <c r="J25" i="20"/>
  <c r="F32" i="20"/>
  <c r="F109" i="20" s="1"/>
  <c r="F82" i="20"/>
  <c r="F83" i="20" s="1"/>
  <c r="F112" i="20" s="1"/>
  <c r="F105" i="20"/>
  <c r="F106" i="20" s="1"/>
  <c r="F116" i="20" s="1"/>
  <c r="J21" i="20"/>
  <c r="G105" i="20"/>
  <c r="G106" i="20" s="1"/>
  <c r="G116" i="20" s="1"/>
  <c r="I74" i="20"/>
  <c r="I75" i="20" s="1"/>
  <c r="I111" i="20" s="1"/>
  <c r="J74" i="20"/>
  <c r="J75" i="20" s="1"/>
  <c r="I82" i="20"/>
  <c r="I83" i="20" s="1"/>
  <c r="I112" i="20" s="1"/>
  <c r="J82" i="20"/>
  <c r="J83" i="20" s="1"/>
  <c r="I105" i="20"/>
  <c r="I106" i="20" s="1"/>
  <c r="I116" i="20" s="1"/>
  <c r="J102" i="20"/>
  <c r="H42" i="20"/>
  <c r="I42" i="20" s="1"/>
  <c r="J42" i="20" s="1"/>
  <c r="H58" i="20"/>
  <c r="I58" i="20" s="1"/>
  <c r="J58" i="20" s="1"/>
  <c r="H47" i="20"/>
  <c r="I47" i="20" s="1"/>
  <c r="J47" i="20" s="1"/>
  <c r="H105" i="20"/>
  <c r="H106" i="20" s="1"/>
  <c r="H116" i="20" s="1"/>
  <c r="H39" i="20"/>
  <c r="I39" i="20" s="1"/>
  <c r="J39" i="20" s="1"/>
  <c r="H54" i="20"/>
  <c r="I54" i="20" s="1"/>
  <c r="J54" i="20" s="1"/>
  <c r="F59" i="20"/>
  <c r="F60" i="20" s="1"/>
  <c r="F110" i="20" s="1"/>
  <c r="H32" i="20"/>
  <c r="H109" i="20" s="1"/>
  <c r="H43" i="20"/>
  <c r="I43" i="20" s="1"/>
  <c r="J43" i="20" s="1"/>
  <c r="I32" i="20"/>
  <c r="I109" i="20" s="1"/>
  <c r="H51" i="20"/>
  <c r="I51" i="20" s="1"/>
  <c r="J51" i="20" s="1"/>
  <c r="F74" i="20"/>
  <c r="F75" i="20" s="1"/>
  <c r="F111" i="20" s="1"/>
  <c r="N13" i="18" s="1"/>
  <c r="F93" i="20"/>
  <c r="F94" i="20" s="1"/>
  <c r="F113" i="20" s="1"/>
  <c r="N14" i="18" s="1"/>
  <c r="H40" i="20"/>
  <c r="I40" i="20" s="1"/>
  <c r="J40" i="20" s="1"/>
  <c r="H55" i="20"/>
  <c r="I55" i="20" s="1"/>
  <c r="J55" i="20" s="1"/>
  <c r="I87" i="20"/>
  <c r="H46" i="20"/>
  <c r="I46" i="20" s="1"/>
  <c r="J46" i="20" s="1"/>
  <c r="H37" i="20"/>
  <c r="I37" i="20" s="1"/>
  <c r="H52" i="20"/>
  <c r="I52" i="20" s="1"/>
  <c r="J52" i="20" s="1"/>
  <c r="J19" i="20"/>
  <c r="J98" i="19"/>
  <c r="F76" i="19"/>
  <c r="F77" i="19" s="1"/>
  <c r="F112" i="19" s="1"/>
  <c r="F93" i="19"/>
  <c r="F94" i="19" s="1"/>
  <c r="F113" i="19" s="1"/>
  <c r="F14" i="18" s="1"/>
  <c r="J21" i="19"/>
  <c r="I82" i="19"/>
  <c r="J82" i="19" s="1"/>
  <c r="H41" i="19"/>
  <c r="I41" i="19" s="1"/>
  <c r="J41" i="19" s="1"/>
  <c r="I75" i="19"/>
  <c r="J75" i="19" s="1"/>
  <c r="H42" i="19"/>
  <c r="I42" i="19" s="1"/>
  <c r="J42" i="19" s="1"/>
  <c r="J25" i="19"/>
  <c r="G105" i="19"/>
  <c r="G106" i="19" s="1"/>
  <c r="G116" i="19" s="1"/>
  <c r="H38" i="19"/>
  <c r="I38" i="19" s="1"/>
  <c r="J38" i="19" s="1"/>
  <c r="H52" i="19"/>
  <c r="I52" i="19" s="1"/>
  <c r="J52" i="19" s="1"/>
  <c r="H105" i="19"/>
  <c r="H106" i="19" s="1"/>
  <c r="H116" i="19" s="1"/>
  <c r="I33" i="19"/>
  <c r="F53" i="19"/>
  <c r="F54" i="19" s="1"/>
  <c r="F110" i="19" s="1"/>
  <c r="I47" i="19"/>
  <c r="J47" i="19" s="1"/>
  <c r="J81" i="19"/>
  <c r="F28" i="19"/>
  <c r="F109" i="19" s="1"/>
  <c r="F105" i="19"/>
  <c r="F106" i="19" s="1"/>
  <c r="F116" i="19" s="1"/>
  <c r="G28" i="19"/>
  <c r="G109" i="19" s="1"/>
  <c r="H35" i="19"/>
  <c r="I35" i="19" s="1"/>
  <c r="J35" i="19" s="1"/>
  <c r="H49" i="19"/>
  <c r="I49" i="19" s="1"/>
  <c r="J49" i="19" s="1"/>
  <c r="H28" i="19"/>
  <c r="H109" i="19" s="1"/>
  <c r="H39" i="19"/>
  <c r="I39" i="19" s="1"/>
  <c r="J39" i="19" s="1"/>
  <c r="I28" i="19"/>
  <c r="I109" i="19" s="1"/>
  <c r="I36" i="19"/>
  <c r="J36" i="19" s="1"/>
  <c r="I50" i="19"/>
  <c r="J50" i="19" s="1"/>
  <c r="J19" i="19"/>
  <c r="J27" i="19" s="1"/>
  <c r="F47" i="17"/>
  <c r="F45" i="17"/>
  <c r="I27" i="24" l="1"/>
  <c r="J19" i="24"/>
  <c r="I27" i="27"/>
  <c r="I27" i="26"/>
  <c r="I27" i="25"/>
  <c r="J24" i="22"/>
  <c r="J27" i="21"/>
  <c r="J24" i="23"/>
  <c r="N16" i="18"/>
  <c r="F120" i="21"/>
  <c r="C14" i="18"/>
  <c r="F117" i="21"/>
  <c r="G95" i="29"/>
  <c r="G96" i="29" s="1"/>
  <c r="G106" i="29" s="1"/>
  <c r="G107" i="29" s="1"/>
  <c r="I95" i="29"/>
  <c r="I96" i="29" s="1"/>
  <c r="I106" i="29" s="1"/>
  <c r="J88" i="29"/>
  <c r="J95" i="29" s="1"/>
  <c r="J96" i="29" s="1"/>
  <c r="J106" i="29"/>
  <c r="I83" i="29"/>
  <c r="I84" i="29" s="1"/>
  <c r="I103" i="29" s="1"/>
  <c r="J78" i="29"/>
  <c r="J83" i="29" s="1"/>
  <c r="J84" i="29" s="1"/>
  <c r="J103" i="29"/>
  <c r="I73" i="29"/>
  <c r="I74" i="29" s="1"/>
  <c r="I102" i="29" s="1"/>
  <c r="J73" i="29"/>
  <c r="J74" i="29" s="1"/>
  <c r="J102" i="29"/>
  <c r="I65" i="29"/>
  <c r="I66" i="29" s="1"/>
  <c r="I101" i="29" s="1"/>
  <c r="J65" i="29"/>
  <c r="J66" i="29" s="1"/>
  <c r="J101" i="29"/>
  <c r="H53" i="29"/>
  <c r="H54" i="29" s="1"/>
  <c r="H100" i="29" s="1"/>
  <c r="I33" i="29"/>
  <c r="I28" i="29"/>
  <c r="I99" i="29" s="1"/>
  <c r="J19" i="29"/>
  <c r="F105" i="29"/>
  <c r="M15" i="18" s="1"/>
  <c r="F104" i="29"/>
  <c r="F107" i="29" s="1"/>
  <c r="J99" i="29"/>
  <c r="J97" i="24"/>
  <c r="J104" i="24" s="1"/>
  <c r="J105" i="24" s="1"/>
  <c r="I104" i="24"/>
  <c r="I105" i="24" s="1"/>
  <c r="I115" i="24" s="1"/>
  <c r="J115" i="24" s="1"/>
  <c r="J21" i="24"/>
  <c r="I28" i="24"/>
  <c r="I108" i="24" s="1"/>
  <c r="G105" i="28"/>
  <c r="G106" i="28" s="1"/>
  <c r="G116" i="28" s="1"/>
  <c r="I105" i="28"/>
  <c r="I106" i="28" s="1"/>
  <c r="I116" i="28" s="1"/>
  <c r="J98" i="28"/>
  <c r="J105" i="28" s="1"/>
  <c r="J106" i="28" s="1"/>
  <c r="J116" i="28"/>
  <c r="I93" i="28"/>
  <c r="I94" i="28" s="1"/>
  <c r="I113" i="28" s="1"/>
  <c r="J85" i="28"/>
  <c r="J93" i="28" s="1"/>
  <c r="J94" i="28" s="1"/>
  <c r="J113" i="28"/>
  <c r="I80" i="28"/>
  <c r="I81" i="28" s="1"/>
  <c r="I112" i="28" s="1"/>
  <c r="J80" i="28"/>
  <c r="J81" i="28" s="1"/>
  <c r="J112" i="28"/>
  <c r="I72" i="28"/>
  <c r="I73" i="28" s="1"/>
  <c r="I111" i="28" s="1"/>
  <c r="J72" i="28"/>
  <c r="J73" i="28" s="1"/>
  <c r="J111" i="28"/>
  <c r="H57" i="28"/>
  <c r="H58" i="28" s="1"/>
  <c r="H110" i="28" s="1"/>
  <c r="I33" i="28"/>
  <c r="I28" i="28"/>
  <c r="I109" i="28" s="1"/>
  <c r="J19" i="28"/>
  <c r="F115" i="28"/>
  <c r="J15" i="18" s="1"/>
  <c r="F114" i="28"/>
  <c r="F117" i="28" s="1"/>
  <c r="J109" i="28"/>
  <c r="G105" i="27"/>
  <c r="G106" i="27" s="1"/>
  <c r="G116" i="27" s="1"/>
  <c r="K16" i="18" s="1"/>
  <c r="I105" i="27"/>
  <c r="I106" i="27" s="1"/>
  <c r="I116" i="27" s="1"/>
  <c r="J98" i="27"/>
  <c r="J105" i="27" s="1"/>
  <c r="J106" i="27" s="1"/>
  <c r="J116" i="27"/>
  <c r="I93" i="27"/>
  <c r="I94" i="27" s="1"/>
  <c r="I113" i="27" s="1"/>
  <c r="J85" i="27"/>
  <c r="J93" i="27" s="1"/>
  <c r="J94" i="27" s="1"/>
  <c r="J113" i="27"/>
  <c r="I80" i="27"/>
  <c r="I81" i="27" s="1"/>
  <c r="I112" i="27" s="1"/>
  <c r="J80" i="27"/>
  <c r="J81" i="27" s="1"/>
  <c r="J112" i="27"/>
  <c r="I72" i="27"/>
  <c r="I73" i="27" s="1"/>
  <c r="I111" i="27" s="1"/>
  <c r="J72" i="27"/>
  <c r="J73" i="27" s="1"/>
  <c r="J111" i="27"/>
  <c r="H57" i="27"/>
  <c r="H58" i="27" s="1"/>
  <c r="H110" i="27" s="1"/>
  <c r="I33" i="27"/>
  <c r="I28" i="27"/>
  <c r="I109" i="27" s="1"/>
  <c r="J19" i="27"/>
  <c r="F115" i="27"/>
  <c r="K15" i="18" s="1"/>
  <c r="F114" i="27"/>
  <c r="F117" i="27" s="1"/>
  <c r="J109" i="27"/>
  <c r="G102" i="26"/>
  <c r="G103" i="26" s="1"/>
  <c r="G113" i="26" s="1"/>
  <c r="I102" i="26"/>
  <c r="I103" i="26" s="1"/>
  <c r="I113" i="26" s="1"/>
  <c r="J95" i="26"/>
  <c r="J102" i="26" s="1"/>
  <c r="J103" i="26" s="1"/>
  <c r="J113" i="26"/>
  <c r="I90" i="26"/>
  <c r="I91" i="26" s="1"/>
  <c r="I110" i="26" s="1"/>
  <c r="J81" i="26"/>
  <c r="J90" i="26" s="1"/>
  <c r="J91" i="26" s="1"/>
  <c r="J110" i="26"/>
  <c r="I76" i="26"/>
  <c r="I77" i="26" s="1"/>
  <c r="I109" i="26" s="1"/>
  <c r="J76" i="26"/>
  <c r="J77" i="26" s="1"/>
  <c r="J109" i="26"/>
  <c r="I68" i="26"/>
  <c r="I69" i="26" s="1"/>
  <c r="I108" i="26" s="1"/>
  <c r="J68" i="26"/>
  <c r="J69" i="26" s="1"/>
  <c r="J108" i="26"/>
  <c r="H53" i="26"/>
  <c r="H54" i="26" s="1"/>
  <c r="H107" i="26" s="1"/>
  <c r="I33" i="26"/>
  <c r="I28" i="26"/>
  <c r="I106" i="26" s="1"/>
  <c r="J19" i="26"/>
  <c r="F112" i="26"/>
  <c r="I15" i="18" s="1"/>
  <c r="F111" i="26"/>
  <c r="F114" i="26" s="1"/>
  <c r="J106" i="26"/>
  <c r="G108" i="25"/>
  <c r="G109" i="25" s="1"/>
  <c r="G119" i="25" s="1"/>
  <c r="I108" i="25"/>
  <c r="I109" i="25" s="1"/>
  <c r="I119" i="25" s="1"/>
  <c r="J101" i="25"/>
  <c r="J108" i="25" s="1"/>
  <c r="J109" i="25" s="1"/>
  <c r="J119" i="25"/>
  <c r="I96" i="25"/>
  <c r="I97" i="25" s="1"/>
  <c r="I116" i="25" s="1"/>
  <c r="J81" i="25"/>
  <c r="J96" i="25" s="1"/>
  <c r="J97" i="25" s="1"/>
  <c r="J116" i="25"/>
  <c r="I76" i="25"/>
  <c r="I77" i="25" s="1"/>
  <c r="I115" i="25" s="1"/>
  <c r="J76" i="25"/>
  <c r="J77" i="25" s="1"/>
  <c r="J115" i="25"/>
  <c r="I68" i="25"/>
  <c r="I69" i="25" s="1"/>
  <c r="I114" i="25" s="1"/>
  <c r="J68" i="25"/>
  <c r="J69" i="25" s="1"/>
  <c r="J114" i="25"/>
  <c r="H53" i="25"/>
  <c r="H54" i="25" s="1"/>
  <c r="H113" i="25" s="1"/>
  <c r="I33" i="25"/>
  <c r="I28" i="25"/>
  <c r="I112" i="25" s="1"/>
  <c r="J19" i="25"/>
  <c r="F118" i="25"/>
  <c r="H15" i="18" s="1"/>
  <c r="F117" i="25"/>
  <c r="F120" i="25" s="1"/>
  <c r="J112" i="25"/>
  <c r="G114" i="19"/>
  <c r="F11" i="18"/>
  <c r="C13" i="18"/>
  <c r="J111" i="24"/>
  <c r="F113" i="24"/>
  <c r="F114" i="24"/>
  <c r="L15" i="18" s="1"/>
  <c r="G95" i="23"/>
  <c r="G96" i="23" s="1"/>
  <c r="G106" i="23" s="1"/>
  <c r="I85" i="23"/>
  <c r="I86" i="23" s="1"/>
  <c r="I103" i="23" s="1"/>
  <c r="J76" i="23"/>
  <c r="J85" i="23" s="1"/>
  <c r="J86" i="23" s="1"/>
  <c r="J103" i="23"/>
  <c r="I71" i="23"/>
  <c r="I72" i="23" s="1"/>
  <c r="I102" i="23" s="1"/>
  <c r="J71" i="23"/>
  <c r="J72" i="23" s="1"/>
  <c r="J102" i="23"/>
  <c r="I64" i="23"/>
  <c r="I101" i="23" s="1"/>
  <c r="J64" i="23"/>
  <c r="J101" i="23"/>
  <c r="H50" i="23"/>
  <c r="H51" i="23" s="1"/>
  <c r="H100" i="23" s="1"/>
  <c r="H104" i="23" s="1"/>
  <c r="H107" i="23" s="1"/>
  <c r="I30" i="23"/>
  <c r="F105" i="23"/>
  <c r="O15" i="18" s="1"/>
  <c r="F104" i="23"/>
  <c r="F107" i="23" s="1"/>
  <c r="J25" i="23"/>
  <c r="J99" i="23"/>
  <c r="G100" i="22"/>
  <c r="G101" i="22" s="1"/>
  <c r="G111" i="22" s="1"/>
  <c r="G16" i="18" s="1"/>
  <c r="I90" i="22"/>
  <c r="I91" i="22" s="1"/>
  <c r="I108" i="22" s="1"/>
  <c r="J77" i="22"/>
  <c r="J90" i="22" s="1"/>
  <c r="J91" i="22" s="1"/>
  <c r="J108" i="22"/>
  <c r="I72" i="22"/>
  <c r="I73" i="22" s="1"/>
  <c r="I107" i="22" s="1"/>
  <c r="J72" i="22"/>
  <c r="J73" i="22" s="1"/>
  <c r="J107" i="22"/>
  <c r="I65" i="22"/>
  <c r="I66" i="22" s="1"/>
  <c r="I106" i="22" s="1"/>
  <c r="J65" i="22"/>
  <c r="J66" i="22" s="1"/>
  <c r="J106" i="22"/>
  <c r="H50" i="22"/>
  <c r="H51" i="22" s="1"/>
  <c r="H105" i="22" s="1"/>
  <c r="I30" i="22"/>
  <c r="F110" i="22"/>
  <c r="G15" i="18" s="1"/>
  <c r="F109" i="22"/>
  <c r="F112" i="22" s="1"/>
  <c r="J25" i="22"/>
  <c r="J104" i="22"/>
  <c r="G112" i="21"/>
  <c r="G113" i="21" s="1"/>
  <c r="G123" i="21" s="1"/>
  <c r="C16" i="18" s="1"/>
  <c r="I100" i="21"/>
  <c r="I101" i="21" s="1"/>
  <c r="I120" i="21" s="1"/>
  <c r="J85" i="21"/>
  <c r="J100" i="21" s="1"/>
  <c r="J101" i="21" s="1"/>
  <c r="J120" i="21"/>
  <c r="I80" i="21"/>
  <c r="I81" i="21" s="1"/>
  <c r="I119" i="21" s="1"/>
  <c r="J80" i="21"/>
  <c r="J81" i="21" s="1"/>
  <c r="J119" i="21"/>
  <c r="I73" i="21"/>
  <c r="I74" i="21" s="1"/>
  <c r="I118" i="21" s="1"/>
  <c r="J73" i="21"/>
  <c r="J74" i="21" s="1"/>
  <c r="J118" i="21"/>
  <c r="H58" i="21"/>
  <c r="H59" i="21" s="1"/>
  <c r="I33" i="21"/>
  <c r="F122" i="21"/>
  <c r="C15" i="18" s="1"/>
  <c r="F121" i="21"/>
  <c r="F124" i="21" s="1"/>
  <c r="J28" i="21"/>
  <c r="J116" i="21"/>
  <c r="F16" i="18"/>
  <c r="J105" i="20"/>
  <c r="J106" i="20" s="1"/>
  <c r="J112" i="20"/>
  <c r="F114" i="20"/>
  <c r="J111" i="20"/>
  <c r="J116" i="20"/>
  <c r="H59" i="20"/>
  <c r="H60" i="20" s="1"/>
  <c r="H110" i="20" s="1"/>
  <c r="I59" i="20"/>
  <c r="I60" i="20" s="1"/>
  <c r="I110" i="20" s="1"/>
  <c r="J37" i="20"/>
  <c r="J59" i="20" s="1"/>
  <c r="J60" i="20" s="1"/>
  <c r="F115" i="20"/>
  <c r="N15" i="18" s="1"/>
  <c r="J87" i="20"/>
  <c r="J93" i="20" s="1"/>
  <c r="J94" i="20" s="1"/>
  <c r="I93" i="20"/>
  <c r="I94" i="20" s="1"/>
  <c r="I113" i="20" s="1"/>
  <c r="J76" i="19"/>
  <c r="J77" i="19" s="1"/>
  <c r="I76" i="19"/>
  <c r="I77" i="19" s="1"/>
  <c r="I112" i="19" s="1"/>
  <c r="I93" i="19"/>
  <c r="I94" i="19" s="1"/>
  <c r="I113" i="19" s="1"/>
  <c r="J28" i="19"/>
  <c r="H53" i="19"/>
  <c r="H54" i="19" s="1"/>
  <c r="H110" i="19" s="1"/>
  <c r="I68" i="19"/>
  <c r="I69" i="19" s="1"/>
  <c r="I111" i="19" s="1"/>
  <c r="J68" i="19"/>
  <c r="J69" i="19" s="1"/>
  <c r="G117" i="19"/>
  <c r="J109" i="19"/>
  <c r="F114" i="19"/>
  <c r="F115" i="19"/>
  <c r="F15" i="18" s="1"/>
  <c r="J93" i="19"/>
  <c r="J94" i="19" s="1"/>
  <c r="I53" i="19"/>
  <c r="I54" i="19" s="1"/>
  <c r="I110" i="19" s="1"/>
  <c r="J33" i="19"/>
  <c r="J53" i="19" s="1"/>
  <c r="J54" i="19" s="1"/>
  <c r="H47" i="17"/>
  <c r="I47" i="17" s="1"/>
  <c r="J47" i="17" s="1"/>
  <c r="H45" i="17"/>
  <c r="I45" i="17" s="1"/>
  <c r="J45" i="17" s="1"/>
  <c r="F55" i="17"/>
  <c r="H55" i="17" s="1"/>
  <c r="I55" i="17" s="1"/>
  <c r="J55" i="17" s="1"/>
  <c r="F54" i="17"/>
  <c r="F41" i="17"/>
  <c r="H41" i="17" s="1"/>
  <c r="F34" i="17"/>
  <c r="F33" i="17"/>
  <c r="H25" i="17"/>
  <c r="G25" i="17"/>
  <c r="F25" i="17"/>
  <c r="I25" i="17" s="1"/>
  <c r="H24" i="17"/>
  <c r="J24" i="17" s="1"/>
  <c r="H23" i="17"/>
  <c r="G23" i="17"/>
  <c r="H21" i="17"/>
  <c r="H19" i="17"/>
  <c r="G21" i="17"/>
  <c r="G19" i="17"/>
  <c r="G27" i="17" s="1"/>
  <c r="H20" i="17"/>
  <c r="J20" i="17" s="1"/>
  <c r="F19" i="17"/>
  <c r="J27" i="24" l="1"/>
  <c r="J28" i="24" s="1"/>
  <c r="J27" i="27"/>
  <c r="J28" i="27" s="1"/>
  <c r="J27" i="28"/>
  <c r="J28" i="28" s="1"/>
  <c r="J27" i="26"/>
  <c r="J28" i="26" s="1"/>
  <c r="J27" i="25"/>
  <c r="J28" i="25" s="1"/>
  <c r="H114" i="28"/>
  <c r="H117" i="28" s="1"/>
  <c r="J12" i="18"/>
  <c r="G117" i="28"/>
  <c r="J16" i="18"/>
  <c r="J27" i="29"/>
  <c r="J28" i="29" s="1"/>
  <c r="J17" i="18"/>
  <c r="O17" i="18"/>
  <c r="J113" i="20"/>
  <c r="O14" i="18"/>
  <c r="H104" i="29"/>
  <c r="H107" i="29" s="1"/>
  <c r="M12" i="18"/>
  <c r="H114" i="27"/>
  <c r="H117" i="27" s="1"/>
  <c r="K12" i="18"/>
  <c r="H111" i="26"/>
  <c r="H114" i="26" s="1"/>
  <c r="I12" i="18"/>
  <c r="G114" i="26"/>
  <c r="I16" i="18"/>
  <c r="H117" i="25"/>
  <c r="H120" i="25" s="1"/>
  <c r="H12" i="18"/>
  <c r="G120" i="25"/>
  <c r="H16" i="18"/>
  <c r="I19" i="17"/>
  <c r="H117" i="21"/>
  <c r="C12" i="18"/>
  <c r="H114" i="20"/>
  <c r="H117" i="20" s="1"/>
  <c r="N12" i="18"/>
  <c r="I105" i="29"/>
  <c r="J105" i="29" s="1"/>
  <c r="I53" i="29"/>
  <c r="I54" i="29" s="1"/>
  <c r="I100" i="29" s="1"/>
  <c r="J33" i="29"/>
  <c r="J53" i="29" s="1"/>
  <c r="J54" i="29" s="1"/>
  <c r="J108" i="24"/>
  <c r="J113" i="24" s="1"/>
  <c r="I113" i="24"/>
  <c r="G117" i="27"/>
  <c r="I115" i="28"/>
  <c r="J115" i="28" s="1"/>
  <c r="I57" i="28"/>
  <c r="I58" i="28" s="1"/>
  <c r="I110" i="28" s="1"/>
  <c r="J33" i="28"/>
  <c r="J57" i="28" s="1"/>
  <c r="J58" i="28" s="1"/>
  <c r="I115" i="27"/>
  <c r="J115" i="27" s="1"/>
  <c r="I57" i="27"/>
  <c r="I58" i="27" s="1"/>
  <c r="I110" i="27" s="1"/>
  <c r="J33" i="27"/>
  <c r="J57" i="27" s="1"/>
  <c r="J58" i="27" s="1"/>
  <c r="I112" i="26"/>
  <c r="J112" i="26" s="1"/>
  <c r="I53" i="26"/>
  <c r="I54" i="26" s="1"/>
  <c r="I107" i="26" s="1"/>
  <c r="J33" i="26"/>
  <c r="J53" i="26" s="1"/>
  <c r="J54" i="26" s="1"/>
  <c r="I118" i="25"/>
  <c r="J118" i="25" s="1"/>
  <c r="I53" i="25"/>
  <c r="I54" i="25" s="1"/>
  <c r="I113" i="25" s="1"/>
  <c r="J33" i="25"/>
  <c r="J53" i="25" s="1"/>
  <c r="J54" i="25" s="1"/>
  <c r="H109" i="22"/>
  <c r="H112" i="22" s="1"/>
  <c r="G12" i="18"/>
  <c r="J111" i="19"/>
  <c r="J113" i="19"/>
  <c r="J112" i="19"/>
  <c r="F12" i="18"/>
  <c r="H121" i="21"/>
  <c r="H124" i="21" s="1"/>
  <c r="I114" i="24"/>
  <c r="I116" i="24" s="1"/>
  <c r="J114" i="24"/>
  <c r="J116" i="24" s="1"/>
  <c r="F116" i="24"/>
  <c r="I105" i="23"/>
  <c r="J105" i="23" s="1"/>
  <c r="I50" i="23"/>
  <c r="I51" i="23" s="1"/>
  <c r="I100" i="23" s="1"/>
  <c r="J30" i="23"/>
  <c r="J50" i="23" s="1"/>
  <c r="J51" i="23" s="1"/>
  <c r="J95" i="23"/>
  <c r="J96" i="23" s="1"/>
  <c r="I95" i="23"/>
  <c r="I96" i="23" s="1"/>
  <c r="I106" i="23" s="1"/>
  <c r="G107" i="23"/>
  <c r="J106" i="23"/>
  <c r="I110" i="22"/>
  <c r="J110" i="22" s="1"/>
  <c r="I50" i="22"/>
  <c r="I51" i="22" s="1"/>
  <c r="I105" i="22" s="1"/>
  <c r="J30" i="22"/>
  <c r="J50" i="22" s="1"/>
  <c r="J51" i="22" s="1"/>
  <c r="J100" i="22"/>
  <c r="J101" i="22" s="1"/>
  <c r="I100" i="22"/>
  <c r="I101" i="22" s="1"/>
  <c r="I111" i="22" s="1"/>
  <c r="G112" i="22"/>
  <c r="J111" i="22"/>
  <c r="I122" i="21"/>
  <c r="J122" i="21" s="1"/>
  <c r="I58" i="21"/>
  <c r="I59" i="21" s="1"/>
  <c r="I117" i="21" s="1"/>
  <c r="J33" i="21"/>
  <c r="J58" i="21" s="1"/>
  <c r="J59" i="21" s="1"/>
  <c r="J112" i="21"/>
  <c r="J113" i="21" s="1"/>
  <c r="I112" i="21"/>
  <c r="I113" i="21" s="1"/>
  <c r="I123" i="21" s="1"/>
  <c r="G124" i="21"/>
  <c r="J123" i="21"/>
  <c r="F117" i="20"/>
  <c r="I114" i="20"/>
  <c r="I115" i="20"/>
  <c r="J110" i="20"/>
  <c r="I114" i="19"/>
  <c r="J110" i="19"/>
  <c r="J114" i="19" s="1"/>
  <c r="J105" i="19"/>
  <c r="J106" i="19" s="1"/>
  <c r="I105" i="19"/>
  <c r="I106" i="19" s="1"/>
  <c r="I116" i="19" s="1"/>
  <c r="H114" i="19"/>
  <c r="H117" i="19" s="1"/>
  <c r="I115" i="19"/>
  <c r="F117" i="19"/>
  <c r="H54" i="17"/>
  <c r="I54" i="17" s="1"/>
  <c r="J54" i="17" s="1"/>
  <c r="I41" i="17"/>
  <c r="J41" i="17" s="1"/>
  <c r="H33" i="17"/>
  <c r="I33" i="17" s="1"/>
  <c r="J33" i="17" s="1"/>
  <c r="H34" i="17"/>
  <c r="I34" i="17" s="1"/>
  <c r="J34" i="17" s="1"/>
  <c r="J25" i="17"/>
  <c r="J19" i="17"/>
  <c r="F53" i="17"/>
  <c r="F40" i="17"/>
  <c r="H40" i="17" s="1"/>
  <c r="I40" i="17" s="1"/>
  <c r="J40" i="17" s="1"/>
  <c r="H112" i="17"/>
  <c r="J112" i="17" s="1"/>
  <c r="H111" i="17"/>
  <c r="G111" i="17"/>
  <c r="F111" i="17"/>
  <c r="I111" i="17" s="1"/>
  <c r="H110" i="17"/>
  <c r="J110" i="17" s="1"/>
  <c r="H109" i="17"/>
  <c r="G109" i="17"/>
  <c r="F109" i="17"/>
  <c r="I109" i="17" s="1"/>
  <c r="F102" i="17"/>
  <c r="I102" i="17" s="1"/>
  <c r="J102" i="17" s="1"/>
  <c r="F95" i="17"/>
  <c r="I95" i="17" s="1"/>
  <c r="J95" i="17" s="1"/>
  <c r="F94" i="17"/>
  <c r="I94" i="17" s="1"/>
  <c r="J94" i="17" s="1"/>
  <c r="F93" i="17"/>
  <c r="I93" i="17" s="1"/>
  <c r="J93" i="17" s="1"/>
  <c r="E123" i="17"/>
  <c r="F115" i="17"/>
  <c r="I115" i="17" s="1"/>
  <c r="J115" i="17" s="1"/>
  <c r="H104" i="17"/>
  <c r="H105" i="17" s="1"/>
  <c r="H124" i="17" s="1"/>
  <c r="G104" i="17"/>
  <c r="G105" i="17" s="1"/>
  <c r="G124" i="17" s="1"/>
  <c r="F103" i="17"/>
  <c r="I103" i="17" s="1"/>
  <c r="J103" i="17" s="1"/>
  <c r="F101" i="17"/>
  <c r="I101" i="17" s="1"/>
  <c r="J101" i="17" s="1"/>
  <c r="F100" i="17"/>
  <c r="I100" i="17" s="1"/>
  <c r="J100" i="17" s="1"/>
  <c r="F99" i="17"/>
  <c r="I99" i="17" s="1"/>
  <c r="J99" i="17" s="1"/>
  <c r="F98" i="17"/>
  <c r="I98" i="17" s="1"/>
  <c r="J98" i="17" s="1"/>
  <c r="F97" i="17"/>
  <c r="I97" i="17" s="1"/>
  <c r="J97" i="17" s="1"/>
  <c r="F96" i="17"/>
  <c r="I96" i="17" s="1"/>
  <c r="J96" i="17" s="1"/>
  <c r="F92" i="17"/>
  <c r="I92" i="17" s="1"/>
  <c r="J92" i="17" s="1"/>
  <c r="F91" i="17"/>
  <c r="I91" i="17" s="1"/>
  <c r="J91" i="17" s="1"/>
  <c r="F90" i="17"/>
  <c r="I90" i="17" s="1"/>
  <c r="J90" i="17" s="1"/>
  <c r="F89" i="17"/>
  <c r="I89" i="17" s="1"/>
  <c r="J89" i="17" s="1"/>
  <c r="F88" i="17"/>
  <c r="I88" i="17" s="1"/>
  <c r="J88" i="17" s="1"/>
  <c r="F87" i="17"/>
  <c r="I87" i="17" s="1"/>
  <c r="J87" i="17" s="1"/>
  <c r="F86" i="17"/>
  <c r="I86" i="17" s="1"/>
  <c r="J86" i="17" s="1"/>
  <c r="F85" i="17"/>
  <c r="I85" i="17" s="1"/>
  <c r="J85" i="17" s="1"/>
  <c r="F84" i="17"/>
  <c r="H79" i="17"/>
  <c r="H80" i="17" s="1"/>
  <c r="H123" i="17" s="1"/>
  <c r="G79" i="17"/>
  <c r="G80" i="17" s="1"/>
  <c r="G123" i="17" s="1"/>
  <c r="F78" i="17"/>
  <c r="I78" i="17" s="1"/>
  <c r="J78" i="17" s="1"/>
  <c r="H72" i="17"/>
  <c r="H73" i="17" s="1"/>
  <c r="H122" i="17" s="1"/>
  <c r="G72" i="17"/>
  <c r="G73" i="17" s="1"/>
  <c r="G122" i="17" s="1"/>
  <c r="G57" i="17"/>
  <c r="G58" i="17" s="1"/>
  <c r="G121" i="17" s="1"/>
  <c r="F56" i="17"/>
  <c r="F52" i="17"/>
  <c r="H52" i="17" s="1"/>
  <c r="F51" i="17"/>
  <c r="F50" i="17"/>
  <c r="H50" i="17" s="1"/>
  <c r="I50" i="17" s="1"/>
  <c r="J50" i="17" s="1"/>
  <c r="F49" i="17"/>
  <c r="F46" i="17"/>
  <c r="H46" i="17" s="1"/>
  <c r="I46" i="17" s="1"/>
  <c r="J46" i="17" s="1"/>
  <c r="F44" i="17"/>
  <c r="H44" i="17" s="1"/>
  <c r="F43" i="17"/>
  <c r="F42" i="17"/>
  <c r="H42" i="17" s="1"/>
  <c r="I42" i="17" s="1"/>
  <c r="J42" i="17" s="1"/>
  <c r="F39" i="17"/>
  <c r="F38" i="17"/>
  <c r="F37" i="17"/>
  <c r="H37" i="17" s="1"/>
  <c r="I37" i="17" s="1"/>
  <c r="J37" i="17" s="1"/>
  <c r="F36" i="17"/>
  <c r="H36" i="17" s="1"/>
  <c r="F35" i="17"/>
  <c r="F23" i="17"/>
  <c r="I23" i="17" s="1"/>
  <c r="H22" i="17"/>
  <c r="H27" i="17" s="1"/>
  <c r="F21" i="17"/>
  <c r="F27" i="17" s="1"/>
  <c r="M17" i="18" l="1"/>
  <c r="L18" i="18"/>
  <c r="L17" i="18"/>
  <c r="K17" i="18"/>
  <c r="H17" i="18"/>
  <c r="I13" i="18"/>
  <c r="I17" i="18" s="1"/>
  <c r="H13" i="18"/>
  <c r="I21" i="17"/>
  <c r="I27" i="17" s="1"/>
  <c r="J22" i="17"/>
  <c r="C17" i="18"/>
  <c r="J100" i="29"/>
  <c r="J104" i="29" s="1"/>
  <c r="J107" i="29" s="1"/>
  <c r="I104" i="29"/>
  <c r="I107" i="29" s="1"/>
  <c r="M18" i="18" s="1"/>
  <c r="J110" i="28"/>
  <c r="J114" i="28" s="1"/>
  <c r="J117" i="28" s="1"/>
  <c r="I114" i="28"/>
  <c r="I117" i="28" s="1"/>
  <c r="J18" i="18" s="1"/>
  <c r="J110" i="27"/>
  <c r="J114" i="27" s="1"/>
  <c r="J117" i="27" s="1"/>
  <c r="I114" i="27"/>
  <c r="I117" i="27" s="1"/>
  <c r="K18" i="18" s="1"/>
  <c r="J107" i="26"/>
  <c r="J111" i="26" s="1"/>
  <c r="J114" i="26" s="1"/>
  <c r="I111" i="26"/>
  <c r="I114" i="26" s="1"/>
  <c r="I18" i="18" s="1"/>
  <c r="J113" i="25"/>
  <c r="J117" i="25" s="1"/>
  <c r="J120" i="25" s="1"/>
  <c r="I117" i="25"/>
  <c r="I120" i="25" s="1"/>
  <c r="H18" i="18" s="1"/>
  <c r="G17" i="18"/>
  <c r="J100" i="23"/>
  <c r="J104" i="23" s="1"/>
  <c r="J107" i="23" s="1"/>
  <c r="I104" i="23"/>
  <c r="I107" i="23" s="1"/>
  <c r="O18" i="18" s="1"/>
  <c r="J105" i="22"/>
  <c r="J109" i="22" s="1"/>
  <c r="J112" i="22" s="1"/>
  <c r="I109" i="22"/>
  <c r="I112" i="22" s="1"/>
  <c r="G18" i="18" s="1"/>
  <c r="J117" i="21"/>
  <c r="J121" i="21" s="1"/>
  <c r="J124" i="21" s="1"/>
  <c r="I121" i="21"/>
  <c r="I124" i="21" s="1"/>
  <c r="C18" i="18" s="1"/>
  <c r="J116" i="19"/>
  <c r="F17" i="18"/>
  <c r="I117" i="20"/>
  <c r="J115" i="20"/>
  <c r="I117" i="19"/>
  <c r="J115" i="19"/>
  <c r="F28" i="17"/>
  <c r="F120" i="17" s="1"/>
  <c r="J109" i="17"/>
  <c r="H53" i="17"/>
  <c r="I53" i="17" s="1"/>
  <c r="J53" i="17" s="1"/>
  <c r="J111" i="17"/>
  <c r="H116" i="17"/>
  <c r="H117" i="17" s="1"/>
  <c r="H127" i="17" s="1"/>
  <c r="J23" i="17"/>
  <c r="J21" i="17"/>
  <c r="J27" i="17" s="1"/>
  <c r="G28" i="17"/>
  <c r="G120" i="17" s="1"/>
  <c r="G125" i="17" s="1"/>
  <c r="H28" i="17"/>
  <c r="H120" i="17" s="1"/>
  <c r="F72" i="17"/>
  <c r="F73" i="17" s="1"/>
  <c r="F122" i="17" s="1"/>
  <c r="D13" i="18" s="1"/>
  <c r="F116" i="17"/>
  <c r="F117" i="17" s="1"/>
  <c r="F127" i="17" s="1"/>
  <c r="G116" i="17"/>
  <c r="G117" i="17" s="1"/>
  <c r="G127" i="17" s="1"/>
  <c r="F104" i="17"/>
  <c r="F105" i="17" s="1"/>
  <c r="I79" i="17"/>
  <c r="I80" i="17" s="1"/>
  <c r="I123" i="17" s="1"/>
  <c r="J79" i="17"/>
  <c r="J80" i="17" s="1"/>
  <c r="H43" i="17"/>
  <c r="I43" i="17" s="1"/>
  <c r="J43" i="17" s="1"/>
  <c r="H56" i="17"/>
  <c r="I56" i="17" s="1"/>
  <c r="J56" i="17" s="1"/>
  <c r="I84" i="17"/>
  <c r="F57" i="17"/>
  <c r="F58" i="17" s="1"/>
  <c r="F121" i="17" s="1"/>
  <c r="H39" i="17"/>
  <c r="I39" i="17" s="1"/>
  <c r="J39" i="17" s="1"/>
  <c r="H49" i="17"/>
  <c r="I49" i="17" s="1"/>
  <c r="J49" i="17" s="1"/>
  <c r="I44" i="17"/>
  <c r="J44" i="17" s="1"/>
  <c r="I52" i="17"/>
  <c r="J52" i="17" s="1"/>
  <c r="H38" i="17"/>
  <c r="I38" i="17" s="1"/>
  <c r="J38" i="17" s="1"/>
  <c r="H51" i="17"/>
  <c r="I51" i="17" s="1"/>
  <c r="J51" i="17" s="1"/>
  <c r="I36" i="17"/>
  <c r="J36" i="17" s="1"/>
  <c r="H35" i="17"/>
  <c r="I35" i="17" s="1"/>
  <c r="J35" i="17" s="1"/>
  <c r="F79" i="17"/>
  <c r="F80" i="17" s="1"/>
  <c r="F123" i="17" s="1"/>
  <c r="H107" i="1"/>
  <c r="J107" i="1" s="1"/>
  <c r="H106" i="1"/>
  <c r="G106" i="1"/>
  <c r="F106" i="1"/>
  <c r="H105" i="1"/>
  <c r="J105" i="1" s="1"/>
  <c r="H104" i="1"/>
  <c r="G104" i="1"/>
  <c r="F104" i="1"/>
  <c r="I104" i="1" s="1"/>
  <c r="F110" i="1"/>
  <c r="I110" i="1" s="1"/>
  <c r="J110" i="1" s="1"/>
  <c r="F91" i="1"/>
  <c r="I91" i="1" s="1"/>
  <c r="J91" i="1" s="1"/>
  <c r="F98" i="1"/>
  <c r="I98" i="1" s="1"/>
  <c r="J98" i="1" s="1"/>
  <c r="F97" i="1"/>
  <c r="I97" i="1" s="1"/>
  <c r="J97" i="1" s="1"/>
  <c r="F96" i="1"/>
  <c r="I96" i="1" s="1"/>
  <c r="J96" i="1" s="1"/>
  <c r="F95" i="1"/>
  <c r="I95" i="1" s="1"/>
  <c r="J95" i="1" s="1"/>
  <c r="F94" i="1"/>
  <c r="I94" i="1" s="1"/>
  <c r="J94" i="1" s="1"/>
  <c r="F93" i="1"/>
  <c r="I93" i="1"/>
  <c r="J93" i="1" s="1"/>
  <c r="F92" i="1"/>
  <c r="I92" i="1" s="1"/>
  <c r="J92" i="1" s="1"/>
  <c r="G99" i="1"/>
  <c r="H99" i="1"/>
  <c r="F90" i="1"/>
  <c r="I90" i="1" s="1"/>
  <c r="J90" i="1" s="1"/>
  <c r="F111" i="1" l="1"/>
  <c r="I106" i="1"/>
  <c r="D16" i="18"/>
  <c r="D11" i="18"/>
  <c r="J117" i="19"/>
  <c r="F18" i="18"/>
  <c r="J104" i="1"/>
  <c r="F124" i="17"/>
  <c r="F125" i="17" s="1"/>
  <c r="G128" i="17"/>
  <c r="I72" i="17"/>
  <c r="I73" i="17" s="1"/>
  <c r="I122" i="17" s="1"/>
  <c r="J122" i="17" s="1"/>
  <c r="J72" i="17"/>
  <c r="J73" i="17" s="1"/>
  <c r="J116" i="17"/>
  <c r="J117" i="17" s="1"/>
  <c r="I116" i="17"/>
  <c r="I117" i="17" s="1"/>
  <c r="I127" i="17" s="1"/>
  <c r="J127" i="17" s="1"/>
  <c r="I104" i="17"/>
  <c r="I105" i="17" s="1"/>
  <c r="I124" i="17" s="1"/>
  <c r="J84" i="17"/>
  <c r="J104" i="17" s="1"/>
  <c r="J105" i="17" s="1"/>
  <c r="H57" i="17"/>
  <c r="H58" i="17" s="1"/>
  <c r="J123" i="17"/>
  <c r="I28" i="17"/>
  <c r="I120" i="17" s="1"/>
  <c r="J28" i="17"/>
  <c r="J106" i="1"/>
  <c r="F44" i="1"/>
  <c r="F38" i="1"/>
  <c r="H38" i="1" s="1"/>
  <c r="I38" i="1" s="1"/>
  <c r="J38" i="1" s="1"/>
  <c r="F46" i="1"/>
  <c r="F42" i="1"/>
  <c r="F89" i="1"/>
  <c r="I89" i="1" s="1"/>
  <c r="J89" i="1" s="1"/>
  <c r="F88" i="1"/>
  <c r="I88" i="1" s="1"/>
  <c r="J88" i="1" s="1"/>
  <c r="F87" i="1"/>
  <c r="I87" i="1" s="1"/>
  <c r="J87" i="1" s="1"/>
  <c r="F86" i="1"/>
  <c r="I86" i="1" s="1"/>
  <c r="J86" i="1" s="1"/>
  <c r="F82" i="1"/>
  <c r="I82" i="1" s="1"/>
  <c r="J82" i="1" s="1"/>
  <c r="F81" i="1"/>
  <c r="I81" i="1" s="1"/>
  <c r="J81" i="1" s="1"/>
  <c r="F39" i="1"/>
  <c r="F40" i="1"/>
  <c r="H40" i="1" s="1"/>
  <c r="F37" i="1"/>
  <c r="H37" i="1" s="1"/>
  <c r="F36" i="1"/>
  <c r="H36" i="1" s="1"/>
  <c r="F35" i="1"/>
  <c r="H25" i="1"/>
  <c r="G25" i="1"/>
  <c r="H22" i="1"/>
  <c r="J22" i="1" s="1"/>
  <c r="H21" i="1"/>
  <c r="G21" i="1"/>
  <c r="F21" i="1"/>
  <c r="I21" i="1" s="1"/>
  <c r="G19" i="1"/>
  <c r="H23" i="1"/>
  <c r="H19" i="1"/>
  <c r="G23" i="1"/>
  <c r="H20" i="1"/>
  <c r="F19" i="1"/>
  <c r="I19" i="1" l="1"/>
  <c r="G27" i="1"/>
  <c r="F126" i="17"/>
  <c r="D15" i="18" s="1"/>
  <c r="G111" i="1"/>
  <c r="J124" i="17"/>
  <c r="J120" i="17"/>
  <c r="H121" i="17"/>
  <c r="D12" i="18" s="1"/>
  <c r="J57" i="17"/>
  <c r="J58" i="17" s="1"/>
  <c r="I57" i="17"/>
  <c r="I58" i="17" s="1"/>
  <c r="I121" i="17" s="1"/>
  <c r="I125" i="17" s="1"/>
  <c r="H44" i="1"/>
  <c r="I44" i="1" s="1"/>
  <c r="J44" i="1" s="1"/>
  <c r="H42" i="1"/>
  <c r="I42" i="1" s="1"/>
  <c r="J42" i="1" s="1"/>
  <c r="H46" i="1"/>
  <c r="I46" i="1" s="1"/>
  <c r="J46" i="1" s="1"/>
  <c r="I37" i="1"/>
  <c r="J37" i="1" s="1"/>
  <c r="I40" i="1"/>
  <c r="J40" i="1" s="1"/>
  <c r="H39" i="1"/>
  <c r="I39" i="1" s="1"/>
  <c r="J39" i="1" s="1"/>
  <c r="J19" i="1"/>
  <c r="H35" i="1"/>
  <c r="I35" i="1" s="1"/>
  <c r="J35" i="1" s="1"/>
  <c r="I36" i="1"/>
  <c r="J36" i="1" s="1"/>
  <c r="J21" i="1"/>
  <c r="I126" i="17" l="1"/>
  <c r="I128" i="17" s="1"/>
  <c r="F128" i="17"/>
  <c r="H125" i="17"/>
  <c r="H128" i="17" s="1"/>
  <c r="J121" i="17"/>
  <c r="J125" i="17" s="1"/>
  <c r="F85" i="1"/>
  <c r="I85" i="1" s="1"/>
  <c r="J85" i="1" s="1"/>
  <c r="F83" i="1"/>
  <c r="I83" i="1" s="1"/>
  <c r="J83" i="1" s="1"/>
  <c r="D18" i="18" l="1"/>
  <c r="D17" i="18"/>
  <c r="J126" i="17"/>
  <c r="J128" i="17" s="1"/>
  <c r="G68" i="1" l="1"/>
  <c r="H68" i="1"/>
  <c r="J68" i="1" l="1"/>
  <c r="F68" i="1"/>
  <c r="I68" i="1"/>
  <c r="H111" i="1" l="1"/>
  <c r="G100" i="1"/>
  <c r="G119" i="1" s="1"/>
  <c r="H100" i="1"/>
  <c r="H119" i="1" s="1"/>
  <c r="F84" i="1"/>
  <c r="I84" i="1" s="1"/>
  <c r="J84" i="1" s="1"/>
  <c r="F80" i="1"/>
  <c r="G75" i="1"/>
  <c r="G76" i="1" s="1"/>
  <c r="G118" i="1" s="1"/>
  <c r="H75" i="1"/>
  <c r="H76" i="1" s="1"/>
  <c r="H118" i="1" s="1"/>
  <c r="F74" i="1"/>
  <c r="I74" i="1" s="1"/>
  <c r="J74" i="1" s="1"/>
  <c r="G69" i="1"/>
  <c r="G117" i="1" s="1"/>
  <c r="H69" i="1"/>
  <c r="H117" i="1" s="1"/>
  <c r="G53" i="1"/>
  <c r="G54" i="1" s="1"/>
  <c r="F52" i="1"/>
  <c r="F51" i="1"/>
  <c r="F50" i="1"/>
  <c r="H50" i="1" s="1"/>
  <c r="F49" i="1"/>
  <c r="F48" i="1"/>
  <c r="F47" i="1"/>
  <c r="H47" i="1" s="1"/>
  <c r="F41" i="1"/>
  <c r="F34" i="1"/>
  <c r="H34" i="1" s="1"/>
  <c r="F33" i="1"/>
  <c r="G28" i="1"/>
  <c r="F25" i="1"/>
  <c r="H24" i="1"/>
  <c r="F23" i="1"/>
  <c r="J20" i="1"/>
  <c r="E118" i="1"/>
  <c r="I23" i="1" l="1"/>
  <c r="F27" i="1"/>
  <c r="J24" i="1"/>
  <c r="H27" i="1"/>
  <c r="I25" i="1"/>
  <c r="J25" i="1" s="1"/>
  <c r="I80" i="1"/>
  <c r="F99" i="1"/>
  <c r="F100" i="1" s="1"/>
  <c r="J23" i="1"/>
  <c r="F112" i="1"/>
  <c r="F122" i="1" s="1"/>
  <c r="J75" i="1"/>
  <c r="J76" i="1" s="1"/>
  <c r="I75" i="1"/>
  <c r="I76" i="1" s="1"/>
  <c r="F75" i="1"/>
  <c r="F76" i="1" s="1"/>
  <c r="F118" i="1" s="1"/>
  <c r="F53" i="1"/>
  <c r="F54" i="1" s="1"/>
  <c r="F69" i="1"/>
  <c r="F117" i="1" s="1"/>
  <c r="E13" i="18" s="1"/>
  <c r="H49" i="1"/>
  <c r="I49" i="1" s="1"/>
  <c r="J49" i="1" s="1"/>
  <c r="I34" i="1"/>
  <c r="J34" i="1" s="1"/>
  <c r="I47" i="1"/>
  <c r="J47" i="1" s="1"/>
  <c r="H41" i="1"/>
  <c r="I41" i="1" s="1"/>
  <c r="J41" i="1" s="1"/>
  <c r="H48" i="1"/>
  <c r="I48" i="1" s="1"/>
  <c r="J48" i="1" s="1"/>
  <c r="H51" i="1"/>
  <c r="I51" i="1" s="1"/>
  <c r="J51" i="1" s="1"/>
  <c r="H33" i="1"/>
  <c r="H52" i="1"/>
  <c r="I52" i="1" s="1"/>
  <c r="J52" i="1" s="1"/>
  <c r="I50" i="1"/>
  <c r="J50" i="1" s="1"/>
  <c r="G116" i="1"/>
  <c r="H28" i="1"/>
  <c r="H115" i="1" s="1"/>
  <c r="H112" i="1"/>
  <c r="H122" i="1" s="1"/>
  <c r="J27" i="1" l="1"/>
  <c r="J28" i="1" s="1"/>
  <c r="I27" i="1"/>
  <c r="J80" i="1"/>
  <c r="J99" i="1" s="1"/>
  <c r="J100" i="1" s="1"/>
  <c r="I99" i="1"/>
  <c r="I100" i="1" s="1"/>
  <c r="I119" i="1" s="1"/>
  <c r="I28" i="1"/>
  <c r="G112" i="1"/>
  <c r="G122" i="1" s="1"/>
  <c r="E16" i="18" s="1"/>
  <c r="I33" i="1"/>
  <c r="H53" i="1"/>
  <c r="H54" i="1" s="1"/>
  <c r="F119" i="1"/>
  <c r="E14" i="18" s="1"/>
  <c r="F28" i="1"/>
  <c r="F115" i="1" s="1"/>
  <c r="F116" i="1"/>
  <c r="I118" i="1"/>
  <c r="J118" i="1" s="1"/>
  <c r="I69" i="1"/>
  <c r="I117" i="1" s="1"/>
  <c r="J117" i="1" s="1"/>
  <c r="G115" i="1"/>
  <c r="E11" i="18" l="1"/>
  <c r="F121" i="1"/>
  <c r="E15" i="18" s="1"/>
  <c r="J119" i="1"/>
  <c r="J111" i="1"/>
  <c r="J112" i="1" s="1"/>
  <c r="I111" i="1"/>
  <c r="I112" i="1" s="1"/>
  <c r="I122" i="1" s="1"/>
  <c r="J122" i="1" s="1"/>
  <c r="J69" i="1"/>
  <c r="J33" i="1"/>
  <c r="J53" i="1" s="1"/>
  <c r="J54" i="1" s="1"/>
  <c r="I53" i="1"/>
  <c r="I54" i="1" s="1"/>
  <c r="F120" i="1"/>
  <c r="I115" i="1"/>
  <c r="J115" i="1" s="1"/>
  <c r="G120" i="1"/>
  <c r="G123" i="1" s="1"/>
  <c r="H116" i="1" l="1"/>
  <c r="I116" i="1"/>
  <c r="I120" i="1" s="1"/>
  <c r="H120" i="1" l="1"/>
  <c r="H123" i="1" s="1"/>
  <c r="E12" i="18"/>
  <c r="J116" i="1"/>
  <c r="J120" i="1" s="1"/>
  <c r="I121" i="1"/>
  <c r="J121" i="1" s="1"/>
  <c r="F123" i="1"/>
  <c r="E17" i="18" l="1"/>
  <c r="J123" i="1"/>
  <c r="I123" i="1"/>
  <c r="E18" i="18" s="1"/>
  <c r="J23" i="20"/>
  <c r="J31" i="20" s="1"/>
  <c r="J32" i="20"/>
  <c r="G32" i="20"/>
  <c r="G109" i="20"/>
  <c r="N11" i="18" s="1"/>
  <c r="J109" i="20"/>
  <c r="J114" i="20"/>
  <c r="J117" i="20"/>
  <c r="G114" i="20" l="1"/>
  <c r="G117" i="20" s="1"/>
  <c r="N17" i="18" l="1"/>
  <c r="N18" i="18"/>
</calcChain>
</file>

<file path=xl/sharedStrings.xml><?xml version="1.0" encoding="utf-8"?>
<sst xmlns="http://schemas.openxmlformats.org/spreadsheetml/2006/main" count="5819" uniqueCount="869">
  <si>
    <t>EMPRESA:</t>
  </si>
  <si>
    <t>RESUMEN</t>
  </si>
  <si>
    <t>EVENTO:</t>
  </si>
  <si>
    <t>CONAVE 2027</t>
  </si>
  <si>
    <t xml:space="preserve">FECHAS:   </t>
  </si>
  <si>
    <t>ENERO- FEBRERO -MARZO</t>
  </si>
  <si>
    <t xml:space="preserve">LUGAR:  </t>
  </si>
  <si>
    <t>CANCÚN - LOS CABOS - PUNTA CANA</t>
  </si>
  <si>
    <t>HOTEL:</t>
  </si>
  <si>
    <t>PAX:</t>
  </si>
  <si>
    <t>SOLICITA</t>
  </si>
  <si>
    <t>PAOLA GEORGINA PERÉZ SOLIS</t>
  </si>
  <si>
    <t>RESPONSABLE:</t>
  </si>
  <si>
    <t>CONCEPTO</t>
  </si>
  <si>
    <t>BARCELO MAYA RIVIERA
22 - 25 Febrero</t>
  </si>
  <si>
    <t>FIESTA AMERICANA CONDESA 
CANCÚN
18 -21 Enero</t>
  </si>
  <si>
    <t>HILTON 
CANCÚN
04 - 07 Enero /
15 - 18 Marzo</t>
  </si>
  <si>
    <t>AVA 
CANCÚN
11 - 14 Enero</t>
  </si>
  <si>
    <t>MOON PALACE THE GRAND CANCUN
1° - 04 Febrero</t>
  </si>
  <si>
    <t>PARADISSUS 
CANCÚN
2DA OPCION
04-07 Enero /
15-18 Febrero</t>
  </si>
  <si>
    <t>PARADISSUS 
PLAYA DEL CARMEN
1° - 04 Febrero</t>
  </si>
  <si>
    <t>OCCIDENTAL AT XCARET
18 - 21 Enero</t>
  </si>
  <si>
    <t>OCCIDENTAL AT XCARET
1° - 04 Febrero</t>
  </si>
  <si>
    <t>HILTON 
TULUM
01-04 FEBRERO</t>
  </si>
  <si>
    <t>GRAND FIESTA AMERICANA LOS CABOS
1° - 04 Febrero</t>
  </si>
  <si>
    <t>HARD ROCK 
LOS CABOS
1° - 04 Febrero</t>
  </si>
  <si>
    <t>PARADISSUS PALMA REAL PUNTA CANA
LOS CABOS
1° - 04 Febrero</t>
  </si>
  <si>
    <t>HOSPEDAJE</t>
  </si>
  <si>
    <t>ALIMENTOS &amp; BEBIDAS</t>
  </si>
  <si>
    <t>TRASLADOS</t>
  </si>
  <si>
    <t>TOTAL OTROS</t>
  </si>
  <si>
    <t xml:space="preserve"> FEE ( 6%)</t>
  </si>
  <si>
    <t xml:space="preserve">COORDINACION </t>
  </si>
  <si>
    <t>TOTAL TERRESTRES SIN IVA</t>
  </si>
  <si>
    <t>TOTAL TERRESTRES CON IVA</t>
  </si>
  <si>
    <t>Hoteles solicitados sin disponiblidad:</t>
  </si>
  <si>
    <t>*  Moon Palace - fechas hasta finales Marzo</t>
  </si>
  <si>
    <t>*  Coral Beach - fechas hasta finales Marzo</t>
  </si>
  <si>
    <t>*  Hilton Los Cabos - sin suficientes dobles</t>
  </si>
  <si>
    <t>*  Dreams Natura - no tiene espacio</t>
  </si>
  <si>
    <t>*  Hyatt Ziva Los Cabos - sin suficientes dobles</t>
  </si>
  <si>
    <t>*  Grand Hyatt Los Cabos - fechas hasta finales Marzo</t>
  </si>
  <si>
    <t>*  Aqua Punta Cana - sin suficientes dobles</t>
  </si>
  <si>
    <t>*  Zemi Miches - sin suficientes dobles</t>
  </si>
  <si>
    <t>PRESUPUESTO</t>
  </si>
  <si>
    <t xml:space="preserve"> Evento:</t>
  </si>
  <si>
    <t>Fecha:</t>
  </si>
  <si>
    <t>22-25 DE FEBRERO 2027</t>
  </si>
  <si>
    <t>Recinto:</t>
  </si>
  <si>
    <t>BARCELÓ MAYA RIVIERA</t>
  </si>
  <si>
    <t>Categoría (HOTEL)</t>
  </si>
  <si>
    <t>4.5 ESTRELLAS</t>
  </si>
  <si>
    <t xml:space="preserve">Destino: </t>
  </si>
  <si>
    <t>RIVIERA MAYA</t>
  </si>
  <si>
    <t>Solicitante:</t>
  </si>
  <si>
    <t>PAOLA GEORGINA PÉREZ SOLIS</t>
  </si>
  <si>
    <t>Coordinador Agencia</t>
  </si>
  <si>
    <t>Moneda:</t>
  </si>
  <si>
    <t xml:space="preserve">MXN </t>
  </si>
  <si>
    <t>T.C.</t>
  </si>
  <si>
    <t>Vigencia Cotización</t>
  </si>
  <si>
    <t xml:space="preserve">HOSPEDAJE  STAFF </t>
  </si>
  <si>
    <t>FECHA</t>
  </si>
  <si>
    <t>CANTIDAD</t>
  </si>
  <si>
    <t xml:space="preserve">COSTO </t>
  </si>
  <si>
    <t>DIAS</t>
  </si>
  <si>
    <t>SUBTOTAL</t>
  </si>
  <si>
    <t>ISH</t>
  </si>
  <si>
    <t>SERVICIO</t>
  </si>
  <si>
    <t>IVA</t>
  </si>
  <si>
    <t>TOTAL</t>
  </si>
  <si>
    <t>DOMINGO</t>
  </si>
  <si>
    <t xml:space="preserve">HOSPEDAJE EN HABITACION SENCILLAS </t>
  </si>
  <si>
    <t>IMPUESTO SANITARIO</t>
  </si>
  <si>
    <t>LUNES - MIERCOLES</t>
  </si>
  <si>
    <t xml:space="preserve">HOSPEDAJE EN HABITACION DOBLES  </t>
  </si>
  <si>
    <t>HOSPEDAJE EN HABITACIÓN SENCILLA EN CORTESÍA</t>
  </si>
  <si>
    <t>PERNOCTAS TENTATIVAS</t>
  </si>
  <si>
    <t>SUBTOTAL PESOS</t>
  </si>
  <si>
    <t>TOTAL HOSPEDAJE  PESOS</t>
  </si>
  <si>
    <t>ALIMENTOS Y BEBIDAS STAFF</t>
  </si>
  <si>
    <r>
      <rPr>
        <sz val="10"/>
        <color rgb="FF000000"/>
        <rFont val="Century Gothic"/>
      </rPr>
      <t xml:space="preserve">COMIDA A CONSUMO EN RESTAURANTE DEL HOTEL PARA PARTICIPANTES DE AVANZADA
</t>
    </r>
    <r>
      <rPr>
        <b/>
        <sz val="10"/>
        <color rgb="FF000000"/>
        <rFont val="Century Gothic"/>
      </rPr>
      <t>-INCLUIDA-</t>
    </r>
  </si>
  <si>
    <r>
      <rPr>
        <sz val="10"/>
        <color rgb="FF000000"/>
        <rFont val="Century Gothic"/>
      </rPr>
      <t>CENA EN RESTAURANTE DEL HOTEL</t>
    </r>
    <r>
      <rPr>
        <b/>
        <sz val="10"/>
        <color rgb="FF000000"/>
        <rFont val="Century Gothic"/>
      </rPr>
      <t xml:space="preserve"> -INCLUIDA-</t>
    </r>
  </si>
  <si>
    <t xml:space="preserve">LUNES  </t>
  </si>
  <si>
    <r>
      <rPr>
        <sz val="10"/>
        <color rgb="FF000000"/>
        <rFont val="Century Gothic"/>
      </rPr>
      <t xml:space="preserve">DESAYUNO BUFFET PARA PARTICIPANTES DE AVANZADA 
</t>
    </r>
    <r>
      <rPr>
        <b/>
        <sz val="10"/>
        <color rgb="FF000000"/>
        <rFont val="Century Gothic"/>
      </rPr>
      <t>-INCLUIDO-</t>
    </r>
  </si>
  <si>
    <r>
      <rPr>
        <sz val="10"/>
        <color rgb="FF000000"/>
        <rFont val="Century Gothic"/>
      </rPr>
      <t>COMIDA BUFFET EN RESTAURANTES DEL HOTEL</t>
    </r>
    <r>
      <rPr>
        <b/>
        <sz val="10"/>
        <color rgb="FF000000"/>
        <rFont val="Century Gothic"/>
      </rPr>
      <t xml:space="preserve"> -INCLUIDA-</t>
    </r>
  </si>
  <si>
    <r>
      <rPr>
        <sz val="10"/>
        <color rgb="FF000000"/>
        <rFont val="Century Gothic"/>
      </rPr>
      <t xml:space="preserve">COFFE BEAK BÁSICO POR 4 HORAS INCLUYE:
CAFÉ,TÉ,REFRESCOS,AGUA EMBOTELLADA,PAN DULCE POR LA MAÑANA Y CRUDITES POR LA TARDE EN SALÓN PLENARIA
</t>
    </r>
    <r>
      <rPr>
        <b/>
        <sz val="10"/>
        <color rgb="FF000000"/>
        <rFont val="Century Gothic"/>
      </rPr>
      <t>-INCLUIDO-</t>
    </r>
  </si>
  <si>
    <r>
      <rPr>
        <sz val="10"/>
        <color rgb="FF000000"/>
        <rFont val="Century Gothic"/>
      </rPr>
      <t xml:space="preserve">COFFE BREAK ADICIONAL CON COSTO POR PERSONA POR DIA DE EVENTO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</si>
  <si>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 xml:space="preserve">COMPLEMENTOS COFFE BREAK AM 
</t>
    </r>
    <r>
      <rPr>
        <b/>
        <sz val="10"/>
        <color rgb="FFFF0000"/>
        <rFont val="Century Gothic"/>
      </rPr>
      <t>-COSTO POR PERSONA INFORMATIVO NO SUMANDO A SELECCIONAR UNA OPCIÓN POR 1 HORA DE SERVICIO-</t>
    </r>
  </si>
  <si>
    <t>COCTEL DE BIENVENIDA POR 2 HORAS CON CANAPES A ELECCIÓN DEL CHEF Y BARRA LIBRE COSTO POR PERSONA 
INCLUYE MONTAJE DE MESAS COCTELERAS ALTAS</t>
  </si>
  <si>
    <t xml:space="preserve">CENA PRIVADA POR 03 HORAS EN SALÓN O RESTAURANTE FRENTE AL MAR 03 TIEMPOS COSTO POR PERSONA 
INCLUYE: BARRA LIBRE Y SERVICIO
NO INCLUYE MUSICA,DECORACIÓN Y7O FIESTAS TEMA
HORARIOS DISPONIBLE EN RESTUARANTE PALAPA 08:00PM 10:00PM
</t>
  </si>
  <si>
    <r>
      <rPr>
        <sz val="10"/>
        <color rgb="FF000000"/>
        <rFont val="Century Gothic"/>
      </rPr>
      <t xml:space="preserve">DESPLAZAMIENTO POR EVENTOS EN PLAYA 03 HORAS COSTO POR PERSONA
INCLUYE; BARRA LIBRE Y SERVICIO
HORARIOS PERMITIDOS EN PLAYA HASTA ANTES DE LAS 11:00 PM
MAXIMO 600 PAX,NO SE PERMITEN EVENTOS EN AREA DE PISCINA
TODOS LOS EVENTOS EN PLAYA REQUIEREN PERMISO GUBERNAMENTAL A COTIZAR Y CONFIRMAR  CON PAGO A 45 DIAS ANTES DEL EVENTO
PARA PAGOS DE PERMISOS GUBERNAMENTALES SE REQUIERE SERVICIO DE AMBULANCIA
</t>
    </r>
    <r>
      <rPr>
        <b/>
        <sz val="10"/>
        <color rgb="FFFF0000"/>
        <rFont val="Century Gothic"/>
      </rPr>
      <t>-COSTO INFORMATIVO NO SUMANDO-</t>
    </r>
  </si>
  <si>
    <t>MARTES</t>
  </si>
  <si>
    <r>
      <rPr>
        <sz val="10"/>
        <color rgb="FF000000"/>
        <rFont val="Century Gothic"/>
      </rPr>
      <t>DESAYUNO BUFFET PARA HOSPEDADOS</t>
    </r>
    <r>
      <rPr>
        <b/>
        <sz val="10"/>
        <color rgb="FF000000"/>
        <rFont val="Century Gothic"/>
      </rPr>
      <t xml:space="preserve"> -INCLUIDO-</t>
    </r>
  </si>
  <si>
    <r>
      <rPr>
        <sz val="10"/>
        <color rgb="FF000000"/>
        <rFont val="Century Gothic"/>
      </rPr>
      <t xml:space="preserve">COFFE BEAK BÁSICO POR 8 HORAS INCLUYE:
CAFÉ,TÉ,REFRESCOS,AGUA EMBOTELLADA,PAN DULCE POR LA MAÑANA Y CRUDITES POR LA TARDE EN SALÓN PLENARIA
</t>
    </r>
    <r>
      <rPr>
        <b/>
        <sz val="10"/>
        <color rgb="FF000000"/>
        <rFont val="Century Gothic"/>
      </rPr>
      <t>-INCLUIDO-</t>
    </r>
  </si>
  <si>
    <r>
      <rPr>
        <sz val="10"/>
        <color rgb="FF000000"/>
        <rFont val="Century Gothic"/>
      </rPr>
      <t>COMIDA BUFFET EN RESTAURANTES DEL HOTEL</t>
    </r>
    <r>
      <rPr>
        <b/>
        <sz val="10"/>
        <color rgb="FF000000"/>
        <rFont val="Century Gothic"/>
      </rPr>
      <t xml:space="preserve"> 
-INCLUIDA-</t>
    </r>
  </si>
  <si>
    <r>
      <rPr>
        <sz val="10"/>
        <color rgb="FF000000"/>
        <rFont val="Century Gothic"/>
      </rPr>
      <t xml:space="preserve">COMPLEMENTOS COFFEE BREAK PM 
</t>
    </r>
    <r>
      <rPr>
        <b/>
        <sz val="10"/>
        <color rgb="FFFF0000"/>
        <rFont val="Century Gothic"/>
      </rPr>
      <t>-COSTO POR PERSONA INFORMATIVO NO SUMANDO A SELECCIONAR UNA OPCIÓN POR 1 HORA DE SERVICIO-</t>
    </r>
  </si>
  <si>
    <r>
      <rPr>
        <sz val="10"/>
        <color rgb="FF000000"/>
        <rFont val="Century Gothic"/>
      </rPr>
      <t xml:space="preserve">CENA LIBRE EN RESTAURANTE DEL HOTEL  (SUJETOS A DISPONIBILIDAD)
</t>
    </r>
    <r>
      <rPr>
        <b/>
        <sz val="10"/>
        <color rgb="FF000000"/>
        <rFont val="Century Gothic"/>
      </rPr>
      <t>-INCLUIDA-</t>
    </r>
  </si>
  <si>
    <t>MIERCOLES</t>
  </si>
  <si>
    <r>
      <rPr>
        <sz val="10"/>
        <color rgb="FF000000"/>
        <rFont val="Century Gothic"/>
      </rPr>
      <t xml:space="preserve">CENA PRIVADA DE CLAUSURA PARA EL GRUPO CENA PRIVADA POR 03 HORAS EN SALÓN O RESTAURANTE FRENTE AL PAR 03 TIEMPOS COSTO POR PERSONA 
INCLUYE: BARRA LIBRE Y SERVICIO
NO INCLUYE MUSICA,DECORACIÓN Y7O FIESTAS TEMA
HORARIOS DISPONIBLE EN RESTUARANTE PALAPA 08:00PM 10:00PMS
</t>
    </r>
    <r>
      <rPr>
        <b/>
        <sz val="10"/>
        <color rgb="FFFF0000"/>
        <rFont val="Century Gothic"/>
      </rPr>
      <t>-MONTAJE DE EVENTOS EN PLAYAS Y TERRAZAS CON ACCESO DIFICIL CON CARGO ADICIONAL POR PERSONA PARA COCTEL Y PARA CENA-</t>
    </r>
  </si>
  <si>
    <r>
      <t xml:space="preserve">HORAS ADICIONALES A LAS ESTABLECIDAS SE REALIZARÁ UN CARGO POR CONCEPTO DE BAR PREMIUM Y SERVICIO POR PERSONA POR HORA PARA PROPIEDADES HARD ROCK
</t>
    </r>
    <r>
      <rPr>
        <b/>
        <sz val="10"/>
        <color rgb="FFFF0000"/>
        <rFont val="Century Gothic"/>
        <family val="2"/>
      </rPr>
      <t>-COSTO POR PERSONA INFORMATIVO NO SUMANDO-</t>
    </r>
  </si>
  <si>
    <t>JUEVES</t>
  </si>
  <si>
    <t>TOTAL ALIMENTOS Y BEBIDAS  PESOS</t>
  </si>
  <si>
    <t>TRASLADOS TERRESTRES  STAFF</t>
  </si>
  <si>
    <t>TRASLADO APTO-HOTEL VAN</t>
  </si>
  <si>
    <t>TRASLADO APTO-HOTEL SPRINTER</t>
  </si>
  <si>
    <t>TRASLADO APTO-HOTEL AUTOBUS 40 PAX</t>
  </si>
  <si>
    <t>TRASLADO APTO-HOTEL BUS 50 PAX</t>
  </si>
  <si>
    <t>TRASLADO APTO-HOTEL AUTOBUS 60 PAX</t>
  </si>
  <si>
    <t>TRASLADO HOTEL-APTO VAN</t>
  </si>
  <si>
    <t>TRASLADO HOTEL-APTO SPRINTER</t>
  </si>
  <si>
    <t>TRASLADO HOTEL-APTO BUS 50 PAX</t>
  </si>
  <si>
    <t>TRASLADO HOTEL-APTO BUS 60 PAX</t>
  </si>
  <si>
    <t>TOTAL TRASLADOS TERRESTRES PESOS</t>
  </si>
  <si>
    <t>TELEMARKETING</t>
  </si>
  <si>
    <t>TOTALTELEMARKETING  PESOS</t>
  </si>
  <si>
    <t xml:space="preserve"> </t>
  </si>
  <si>
    <t>OTROS</t>
  </si>
  <si>
    <r>
      <t xml:space="preserve">ENTREGA EN HABITACIONES POR DIA
</t>
    </r>
    <r>
      <rPr>
        <b/>
        <sz val="10"/>
        <color rgb="FFFF0000"/>
        <rFont val="Century Gothic"/>
        <family val="2"/>
      </rPr>
      <t>-INFORMATIVO NO SUMANDO-</t>
    </r>
  </si>
  <si>
    <r>
      <rPr>
        <sz val="10"/>
        <color rgb="FF000000"/>
        <rFont val="Century Gothic"/>
      </rPr>
      <t xml:space="preserve">FEE DE PROVEEDOR EXTERNO DE EQUIPO DE AUDIOVISUAL, DECORACION, FLORES, MAQUILLAJE, FOTOGRAFIA POR PROVEEDOR POR DÍA POR EVENTO SE TOMA A UN TIPO DE CAMBIO DE $20.00 SUJETO A PAGO DEL DÍA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</si>
  <si>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 xml:space="preserve">MANEJO DE BASURA DE PROVEEDORES CON COSTO ADICIONAL POR DIA POR EVENTO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</si>
  <si>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>FEE DE PROVEEDOR EXTERNO DE GRUPOS MUSICALES O DE ENTRETENIMIENTO COSTO POR DÍA POR EVENTO A UN TIPO DE CAMBIO DE $20.00 A PAGO DEL DÍA</t>
    </r>
    <r>
      <rPr>
        <b/>
        <sz val="10"/>
        <color rgb="FFFF0000"/>
        <rFont val="Century Gothic"/>
      </rPr>
      <t xml:space="preserve"> 
-INFORMATIVO NO SUMANDO-</t>
    </r>
  </si>
  <si>
    <r>
      <t xml:space="preserve">FEE DE PROVEEDOR EXTERNO DE BRANDING COSTO POR EVENTO A UN TIPO DE CAMBIO DE $20.00 PAGO DEL DÍA
</t>
    </r>
    <r>
      <rPr>
        <b/>
        <sz val="10"/>
        <color rgb="FFFF0000"/>
        <rFont val="Century Gothic"/>
        <family val="2"/>
      </rPr>
      <t xml:space="preserve"> -INFORMATIVO NO SUMANDO-</t>
    </r>
  </si>
  <si>
    <r>
      <t xml:space="preserve">CARGO FIJO  POR SUPERVISIÓN POR LA EMPRESA AUTORIZADA POR EL HOTEL COMO PROVEEDOR DEL SERVICIO PRESTADO, POR DIA POR PROVEEDOR,POR RUBRO
</t>
    </r>
    <r>
      <rPr>
        <b/>
        <sz val="10"/>
        <color rgb="FFFF0000"/>
        <rFont val="Century Gothic"/>
        <family val="2"/>
      </rPr>
      <t>-INFORMATIVO NO SUMADO-</t>
    </r>
  </si>
  <si>
    <r>
      <rPr>
        <sz val="10"/>
        <color rgb="FF000000"/>
        <rFont val="Century Gothic"/>
      </rPr>
      <t xml:space="preserve">PREMONTAJE EN SALÓN PLENARIO A PARTIR DE LAS 10:00 AM </t>
    </r>
    <r>
      <rPr>
        <b/>
        <sz val="10"/>
        <color rgb="FF000000"/>
        <rFont val="Century Gothic"/>
      </rPr>
      <t>-SALÓN ARENA-
-CORTESIA-</t>
    </r>
  </si>
  <si>
    <t>LUNES</t>
  </si>
  <si>
    <r>
      <rPr>
        <sz val="10"/>
        <color rgb="FF000000"/>
        <rFont val="Century Gothic"/>
      </rPr>
      <t xml:space="preserve">SALÓN PLENARIO ARENA 
INVITADOS 410 PAX </t>
    </r>
    <r>
      <rPr>
        <b/>
        <sz val="10"/>
        <color rgb="FF000000"/>
        <rFont val="Century Gothic"/>
      </rPr>
      <t xml:space="preserve"> </t>
    </r>
  </si>
  <si>
    <t>LUNES (PRE-MONTAJE)
MARTES Y MIERCOLES</t>
  </si>
  <si>
    <r>
      <rPr>
        <sz val="10"/>
        <color rgb="FF000000"/>
        <rFont val="Century Gothic"/>
      </rPr>
      <t>BREAK OUT 1 SALUD FEMENINA
SALÓN TANKAH 1
INVITADOS 34 PAX</t>
    </r>
    <r>
      <rPr>
        <b/>
        <sz val="10"/>
        <color rgb="FF000000"/>
        <rFont val="Century Gothic"/>
      </rPr>
      <t xml:space="preserve"> </t>
    </r>
  </si>
  <si>
    <t xml:space="preserve">BREAK OUT 2 NEURO
SALÓN TANKAH 2
INVITADOS 60 PAX </t>
  </si>
  <si>
    <r>
      <rPr>
        <sz val="10"/>
        <color rgb="FF000000"/>
        <rFont val="Century Gothic"/>
      </rPr>
      <t xml:space="preserve">BREAK OUT 3 COMERCIAL
SALÓN TANKAH 3
INVITADOS 30 PAX </t>
    </r>
    <r>
      <rPr>
        <b/>
        <sz val="10"/>
        <color rgb="FF000000"/>
        <rFont val="Century Gothic"/>
      </rPr>
      <t xml:space="preserve"> </t>
    </r>
  </si>
  <si>
    <r>
      <rPr>
        <sz val="10"/>
        <color rgb="FF000000"/>
        <rFont val="Century Gothic"/>
      </rPr>
      <t xml:space="preserve">BREAK OUT 4 ONCO
SALÓN TANKAH 4
INVITADOS 8 PAX </t>
    </r>
    <r>
      <rPr>
        <b/>
        <sz val="10"/>
        <color rgb="FF000000"/>
        <rFont val="Century Gothic"/>
      </rPr>
      <t xml:space="preserve"> </t>
    </r>
  </si>
  <si>
    <r>
      <rPr>
        <sz val="10"/>
        <color rgb="FF000000"/>
        <rFont val="Century Gothic"/>
      </rPr>
      <t xml:space="preserve">BREAK OUT 5 GENERAL
SALÓN TANKAH 5
INVITADOS 111 PAX </t>
    </r>
    <r>
      <rPr>
        <b/>
        <sz val="10"/>
        <color rgb="FF000000"/>
        <rFont val="Century Gothic"/>
      </rPr>
      <t xml:space="preserve"> </t>
    </r>
  </si>
  <si>
    <t xml:space="preserve">BREAK OUT 6 CARDIO
SALÓN 6 TANKAN
INVITADOS 80 PAX </t>
  </si>
  <si>
    <t xml:space="preserve">BREAK OUT 7 GASTRO
SALÓN ARENA
INVITADOS 50 PAX </t>
  </si>
  <si>
    <t>TOTAL OTROS PESOS</t>
  </si>
  <si>
    <t>GASTOS DE OPERACION / VIATICOS / COORDINACION AGENCIA</t>
  </si>
  <si>
    <t>DOMINGO - JUEVES</t>
  </si>
  <si>
    <t>HOSPEDAJE EN HABITACION DBL 2 CAMAS PARA STAFF OZUM TERRESTRE</t>
  </si>
  <si>
    <t>HOSPEDAJE EN HABITACION DBL 2 CAMAS PARA STAFF AEREOS</t>
  </si>
  <si>
    <t>VUELO MEX-CUN-MEX</t>
  </si>
  <si>
    <t>FEE DE EMISION</t>
  </si>
  <si>
    <t>VIATICOS STAFF OZUM</t>
  </si>
  <si>
    <t>TOTAL GASTOS DE OPERACION / VIATICOS / COORDINACION EN SITIO PESOS</t>
  </si>
  <si>
    <t>TOTAL HOSPEDAJE</t>
  </si>
  <si>
    <t>TOTAL ALIMENTOS &amp; BEBIDAS</t>
  </si>
  <si>
    <t>TOTAL TRASLADOS</t>
  </si>
  <si>
    <t>SUB TOTAL SERVICIOS TERRESTRES PESOS</t>
  </si>
  <si>
    <t>MANAGEMENT FEE ( 6%)</t>
  </si>
  <si>
    <t>TOTAL COORDINACION EN SITIO AGENCIA</t>
  </si>
  <si>
    <t>GRAN TOTAL DE EVENTO EN PESOS (SIN AEREO)</t>
  </si>
  <si>
    <t>*  NO SE HA REALIZADO NINGUN BLOQUEO HASTA NO CONTAR CON LA OC.</t>
  </si>
  <si>
    <t>18-21 DE ENERO 2027</t>
  </si>
  <si>
    <t>HOTEL FIESTA AMERICANA CONDESA CANCUN</t>
  </si>
  <si>
    <t>CANCÚN</t>
  </si>
  <si>
    <t xml:space="preserve">HOSPEDAJE EN HABITACION DOBLES  2 CAMAS </t>
  </si>
  <si>
    <t>PERNOCAS TENTATIVAS</t>
  </si>
  <si>
    <r>
      <rPr>
        <sz val="10"/>
        <color rgb="FF000000"/>
        <rFont val="Century Gothic"/>
      </rPr>
      <t xml:space="preserve">DESAYUNO BUFFET EN RESAURANTEDEL HOTEL PARA PARTICIPANTES DE AVANZADA
</t>
    </r>
    <r>
      <rPr>
        <b/>
        <sz val="10"/>
        <color rgb="FF000000"/>
        <rFont val="Century Gothic"/>
      </rPr>
      <t>-INCLUIDA-</t>
    </r>
  </si>
  <si>
    <t>COFFE BEAK BÁSICO POR 4 HORAS INCLUYE:
REFRESCOS SURTIDOS, CAFÉ AMERICANO, VARIEDAD DE TÉS, AGUA Y PASTAS</t>
  </si>
  <si>
    <t>COMPLEMENTOS COFFEE BREAK PM INCLUYE:
AGUA DE CHAYA CON PIÑA, MINI TORTAS DE COCHINITA PIBIL, SALBUTES DE POLLO</t>
  </si>
  <si>
    <r>
      <t xml:space="preserve">COCTEL DE BIENVENIDA POR 1 HORA INCLUYE:
BEBIDAS NACIONALES Y 6 CANPÉS POR PERSONA A ELECCIÓN DEL CHEF 
</t>
    </r>
    <r>
      <rPr>
        <b/>
        <sz val="10"/>
        <rFont val="Century Gothic"/>
        <family val="2"/>
      </rPr>
      <t>-CORTESÍA-</t>
    </r>
  </si>
  <si>
    <r>
      <rPr>
        <sz val="10"/>
        <color rgb="FF000000"/>
        <rFont val="Century Gothic"/>
      </rPr>
      <t xml:space="preserve">CENA DE BIENVENIDA CON MONTAJE BÁSICO EN EL ÁREA DE LA ALBERCA O SALÓN SUJETO A DISPONIBILIDAD
INCLUYE BARRA DE BEBIDAS DEL TODO INCLUIDO
SERVICIO POR 3 HORAS Y HASTA LAS 23:00 HRS
</t>
    </r>
    <r>
      <rPr>
        <b/>
        <sz val="10"/>
        <color rgb="FF000000"/>
        <rFont val="Century Gothic"/>
      </rPr>
      <t>-INCLUIDA-</t>
    </r>
  </si>
  <si>
    <r>
      <t xml:space="preserve">CENA DE BIENVENIDA CON MONTAJE BÁSICO EN EL ÁREA DE LA ALBERCA O SALÓN SUJETO A DISPONIBILIDAD
INCLUYE BARRA DE BEBIDAS DEL TODO INCLUIDO
</t>
    </r>
    <r>
      <rPr>
        <b/>
        <sz val="10"/>
        <rFont val="Century Gothic"/>
        <family val="2"/>
      </rPr>
      <t>-COSTO POR HORA ADICIONAL DESPUES DE LAS 23:00 HRS POR PERSONA, POR HORA-</t>
    </r>
    <r>
      <rPr>
        <sz val="10"/>
        <rFont val="Century Gothic"/>
        <family val="2"/>
      </rPr>
      <t xml:space="preserve">
</t>
    </r>
    <r>
      <rPr>
        <b/>
        <sz val="10"/>
        <color rgb="FFFF0000"/>
        <rFont val="Century Gothic"/>
        <family val="2"/>
      </rPr>
      <t>-COSTO INFORMATIVO NO SUMANDO-</t>
    </r>
  </si>
  <si>
    <r>
      <t xml:space="preserve">COSTO POR DESPLAZAMIENTO POR EVENTO PRIVADO  EN PLAYA CON ALIMENTOS Y BEBIDAS DURACIÓN MÁXIMO DE 3 HORAS HASTA LAS 23:00 
</t>
    </r>
    <r>
      <rPr>
        <b/>
        <sz val="10"/>
        <color rgb="FFFF0000"/>
        <rFont val="Century Gothic"/>
        <family val="2"/>
      </rPr>
      <t>-INFORMATIVO NO SUMADO-</t>
    </r>
  </si>
  <si>
    <t>COFFE BEAK BÁSICO POR 8 HORAS INCLUYE:
REFRESCOS, TÉ, AGUA, CAFÉ Y PASTAS</t>
  </si>
  <si>
    <t>COMPLEMENTOS COFFEE BREAK AM SNACKS INCLUYE:
FRUTA DE TEMPORADA,MINI MOLLETES DE FRIJOL Y QUESO , VARIEDAD DE EMPANADAS</t>
  </si>
  <si>
    <t>COMPLEMENTOS COFFEE BREAK PM</t>
  </si>
  <si>
    <r>
      <rPr>
        <sz val="10"/>
        <color rgb="FF000000"/>
        <rFont val="Century Gothic"/>
      </rPr>
      <t xml:space="preserve">CENA LIBRE EN RESTAURANTE DEL HOTEL 
(SUJETOS A DISPONIBILIDAD)
</t>
    </r>
    <r>
      <rPr>
        <b/>
        <sz val="10"/>
        <color rgb="FF000000"/>
        <rFont val="Century Gothic"/>
      </rPr>
      <t>-INCLUIDA-</t>
    </r>
  </si>
  <si>
    <r>
      <rPr>
        <sz val="10"/>
        <color rgb="FF000000"/>
        <rFont val="Century Gothic"/>
      </rPr>
      <t>DESAYUNO BUFFET PARA HOSPEDADOS</t>
    </r>
    <r>
      <rPr>
        <b/>
        <sz val="10"/>
        <color rgb="FF000000"/>
        <rFont val="Century Gothic"/>
      </rPr>
      <t xml:space="preserve"> -INCLUIDA-</t>
    </r>
  </si>
  <si>
    <t>COFFE BEAK BÁSICO POR 4 HORAS INCLUYE:
REFRESCOS, TÉ, AGUA, CAFÉ Y PASTAS</t>
  </si>
  <si>
    <t>COMPLEMENTOS COFFEE BREAK AM</t>
  </si>
  <si>
    <r>
      <rPr>
        <sz val="10"/>
        <color rgb="FF000000"/>
        <rFont val="Century Gothic"/>
      </rPr>
      <t xml:space="preserve">COMIDA BUFFET EN RESTAURANTES DEL HOTEL
</t>
    </r>
    <r>
      <rPr>
        <b/>
        <sz val="10"/>
        <color rgb="FF000000"/>
        <rFont val="Century Gothic"/>
      </rPr>
      <t>-INCLUIDA-</t>
    </r>
  </si>
  <si>
    <r>
      <rPr>
        <sz val="10"/>
        <color rgb="FF000000"/>
        <rFont val="Century Gothic"/>
      </rPr>
      <t xml:space="preserve">CENA DE CLAUSURA CON MONTAJE BÁSICO EN EL ÁREA DE LA ALBERCA O SALÓN SUJETO A DISPONIBILIDAD
INCLUYE BARRA DE BEBIDAS DEL TODO INCLUIDO
DURACIÓN MEXIMA DE 3 HORAS HASTA LAS 23:00 
</t>
    </r>
    <r>
      <rPr>
        <b/>
        <sz val="10"/>
        <color rgb="FF000000"/>
        <rFont val="Century Gothic"/>
      </rPr>
      <t>-INCLUIDA-</t>
    </r>
  </si>
  <si>
    <t>TOTAL TELEMARKETING  PESOS</t>
  </si>
  <si>
    <r>
      <t xml:space="preserve">FEE DE PROVEEDOR EXTERNO DE EQUIPO DE AUDIOVISUAL POR DÍA POR EVENTO SE TOMA A UN TIPO DE CAMBIO DE $20.00 SUJETO A PAGO DEL DÍA
</t>
    </r>
    <r>
      <rPr>
        <b/>
        <sz val="10"/>
        <color rgb="FFFF0000"/>
        <rFont val="Century Gothic"/>
        <family val="2"/>
      </rPr>
      <t>-INFORMATIVO NO SUMANDO-</t>
    </r>
  </si>
  <si>
    <r>
      <t>FEE DE PROVEEDOR EXTERNO DE GRUPOS MUSICALES O DE ENTRETENIMIENTO COSTO POR DÍA POR EVENTO A UN TIPO DE CAMBIO DE $20.00 A PAGO DEL DÍA</t>
    </r>
    <r>
      <rPr>
        <b/>
        <sz val="10"/>
        <color rgb="FFFF0000"/>
        <rFont val="Century Gothic"/>
        <family val="2"/>
      </rPr>
      <t xml:space="preserve"> 
-INFORMATIVO NO SUMANDO-</t>
    </r>
  </si>
  <si>
    <r>
      <t xml:space="preserve">FEE DE PROVEEDOR EXTERNOS DE FOTOGRAFÍA Y VIDEO COSTO POR EVENTO A UN TIPO DE CAMBIO DE $20.00 PAGO DEL DÍA
</t>
    </r>
    <r>
      <rPr>
        <b/>
        <sz val="10"/>
        <color rgb="FFFF0000"/>
        <rFont val="Century Gothic"/>
        <family val="2"/>
      </rPr>
      <t>-INFORMATIVO NO SUMANDO-</t>
    </r>
  </si>
  <si>
    <r>
      <t xml:space="preserve">FEE DE PROVEEDOR EXTERNO DE FLORES COSTO POR EVENTO A UN TIPO DE CAMBIO DE $20.00 PAGO DEL DÍA
</t>
    </r>
    <r>
      <rPr>
        <b/>
        <sz val="10"/>
        <color rgb="FFFF0000"/>
        <rFont val="Century Gothic"/>
        <family val="2"/>
      </rPr>
      <t>-INFORMATIVO NO SUMANDO-</t>
    </r>
  </si>
  <si>
    <r>
      <t xml:space="preserve">FEE DE PROVEEDOR EXTERNO DE ACTIVIDADES, TEAM BUILDING E INTEGRACIÓN COSTO POR EVENTO A UN TIPO DE CAMBIO DE $20.00 PAGO DEL DÍA 
</t>
    </r>
    <r>
      <rPr>
        <b/>
        <sz val="10"/>
        <color rgb="FFFF0000"/>
        <rFont val="Century Gothic"/>
        <family val="2"/>
      </rPr>
      <t>-INFORMATIVO NO SUMANDO-</t>
    </r>
  </si>
  <si>
    <r>
      <t xml:space="preserve">FEE DE PROVEEDOR EXTERNO DECORACIÓN O MOBILIARIO COSTO POR EVENTO A UN TIPO DE CAMBIO DE $20.00 PAGO DEL DÍA
</t>
    </r>
    <r>
      <rPr>
        <b/>
        <sz val="10"/>
        <color rgb="FFFF0000"/>
        <rFont val="Century Gothic"/>
        <family val="2"/>
      </rPr>
      <t>-INFORMATIVO NO SUMANDO-</t>
    </r>
  </si>
  <si>
    <r>
      <t xml:space="preserve">PREMONTAJE EN SALÓN PLENARIO de 00:00 a 20:00
</t>
    </r>
    <r>
      <rPr>
        <b/>
        <sz val="10"/>
        <rFont val="Century Gothic"/>
        <family val="2"/>
      </rPr>
      <t xml:space="preserve"> -SALÓN GRAN CONDESA-</t>
    </r>
    <r>
      <rPr>
        <sz val="10"/>
        <rFont val="Century Gothic"/>
        <family val="2"/>
      </rPr>
      <t xml:space="preserve">
</t>
    </r>
    <r>
      <rPr>
        <b/>
        <sz val="10"/>
        <rFont val="Century Gothic"/>
        <family val="2"/>
      </rPr>
      <t>-CORTESIA-</t>
    </r>
  </si>
  <si>
    <r>
      <t xml:space="preserve">OFICINA STAFF ABBOTT DE 08:00 A 18:00 
</t>
    </r>
    <r>
      <rPr>
        <b/>
        <sz val="10"/>
        <rFont val="Century Gothic"/>
        <family val="2"/>
      </rPr>
      <t>- SALÓN MARIA MARCEDES-</t>
    </r>
    <r>
      <rPr>
        <sz val="10"/>
        <rFont val="Century Gothic"/>
        <family val="2"/>
      </rPr>
      <t xml:space="preserve">
</t>
    </r>
    <r>
      <rPr>
        <b/>
        <sz val="10"/>
        <rFont val="Century Gothic"/>
        <family val="2"/>
      </rPr>
      <t>-CORTESIA-</t>
    </r>
  </si>
  <si>
    <r>
      <t xml:space="preserve">OFICINA STAFF OZUM  DE 08:00 A18:00 
</t>
    </r>
    <r>
      <rPr>
        <b/>
        <sz val="10"/>
        <rFont val="Century Gothic"/>
        <family val="2"/>
      </rPr>
      <t>- SALÓN MARIA BEATRIZ-</t>
    </r>
    <r>
      <rPr>
        <sz val="10"/>
        <rFont val="Century Gothic"/>
        <family val="2"/>
      </rPr>
      <t xml:space="preserve">
</t>
    </r>
    <r>
      <rPr>
        <b/>
        <sz val="10"/>
        <rFont val="Century Gothic"/>
        <family val="2"/>
      </rPr>
      <t>-CORTESIA-</t>
    </r>
  </si>
  <si>
    <r>
      <t xml:space="preserve">BODEGA DE 08:00 A 18:00 
</t>
    </r>
    <r>
      <rPr>
        <b/>
        <sz val="10"/>
        <rFont val="Century Gothic"/>
        <family val="2"/>
      </rPr>
      <t>- MARIA LUISA-</t>
    </r>
    <r>
      <rPr>
        <sz val="10"/>
        <rFont val="Century Gothic"/>
        <family val="2"/>
      </rPr>
      <t xml:space="preserve">
</t>
    </r>
    <r>
      <rPr>
        <b/>
        <sz val="10"/>
        <rFont val="Century Gothic"/>
        <family val="2"/>
      </rPr>
      <t>-CORTESIA-</t>
    </r>
  </si>
  <si>
    <r>
      <t xml:space="preserve">SALÓN PLENARIO GRAN CONDESA
INVITADOS 410 PAX </t>
    </r>
    <r>
      <rPr>
        <b/>
        <sz val="10"/>
        <rFont val="Century Gothic"/>
        <family val="2"/>
      </rPr>
      <t>-CORTESIA-</t>
    </r>
  </si>
  <si>
    <r>
      <t>BREAK OUT 1 CARDIO
SALÓN CONDESA 2
INVITADOS 80 PAX</t>
    </r>
    <r>
      <rPr>
        <b/>
        <sz val="10"/>
        <rFont val="Century Gothic"/>
        <family val="2"/>
      </rPr>
      <t xml:space="preserve"> -CORTESIA-</t>
    </r>
  </si>
  <si>
    <r>
      <rPr>
        <sz val="10"/>
        <color rgb="FF000000"/>
        <rFont val="Century Gothic"/>
      </rPr>
      <t xml:space="preserve">BREAK OUT 2 COMERCIAL
SALÓN PENINSULA 1
INVITADOS 30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</si>
  <si>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3 GASTRO
SALÓN CONDESA 1B
INVITADOS 50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</si>
  <si>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4 GENERAL
SALÓN CONDESA 3
INVITADOS 111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</si>
  <si>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6 NEURO
SALÓN CONDESA 1A
INVITADOS 60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</si>
  <si>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7 ONCO
SALÓN PENINSULA 4
INVITADOS 8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</si>
  <si>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8 SALUD FEMENINA
SALÓN PENINSULA 3
INVITADOS 34 PAX </t>
    </r>
    <r>
      <rPr>
        <b/>
        <sz val="10"/>
        <color rgb="FF000000"/>
        <rFont val="Century Gothic"/>
      </rPr>
      <t>-CORTESIA-</t>
    </r>
  </si>
  <si>
    <t>* COSTOS SUJETOS A CAMBIO SIN PREVIO AVISO.</t>
  </si>
  <si>
    <t>04-07 DE ENERO | 15-18 DE MARZO 2027</t>
  </si>
  <si>
    <t>HOTEL HILTON CANCUN</t>
  </si>
  <si>
    <t>5 ESTRELLAS</t>
  </si>
  <si>
    <t>COFFE BEAK BÁSICO POR 4 HORAS INCLUYE:
CAFÉ REgULAR, DESCAFEINADO, SELLECCIÓN DE TÉS. REFRESCOS,AGUA, REPOSTERÍA CASERA O GALLETAS SURTIDAS</t>
  </si>
  <si>
    <r>
      <t xml:space="preserve">COMPLEMENTOS COFFEE BREAK PM SNACKS INCLUYE:
TACOS CALLEJEROS DE RES O POLLO O CERDO
QUESADILLAS MEXICANAS: FLOR DE CALABAZA, HUITLACOCHE, CHCICHARRON DE CERDO
BROCHETAS DE QUESO SUIZO Y TOMATE CHERRY CON PESTO DE ALBAHACA
CRUDITÉS
MINI BAGEL DE SALMÓN  AHUMADO
CROISSANT RELLENO DE QUESO BRIE Y CHUTNEY DE FRUTOS ROJOS 
MINI BAGUETTE DE VEGETALES Y QUESO DE ABRA
VARIEDAD DE EMPANADAS HECHAS EN CASA
PAN CIABATTA,ROAST BEEF,MOSTAZA DIJON Y COMPOTA DE CEBOLLA
</t>
    </r>
    <r>
      <rPr>
        <b/>
        <sz val="10"/>
        <color rgb="FFFF0000"/>
        <rFont val="Century Gothic"/>
        <family val="2"/>
      </rPr>
      <t>-COSTO POR PERSONA INFORMATIVO NO SUMANDO A SELECCIONAR UNA OPCIÓN POR 1 HORA DE SERVICIO-</t>
    </r>
  </si>
  <si>
    <t>COCTEL DE BIENVENIDA POR 1 HORA ADICIONAL DE SERVICIO INCLUYE:
CERVEZAS ARTESANALES, TEQUILA,MEZCALES,WHISKEYS,RON,GINEBRAS,SAKES,
VINO</t>
  </si>
  <si>
    <r>
      <rPr>
        <sz val="10"/>
        <color rgb="FF000000"/>
        <rFont val="Century Gothic"/>
      </rPr>
      <t xml:space="preserve">CENA DE BIENVENIDA EMPLATADA O BUFFET EN EXTERIOR CON 2 HORAS DE OPEN BAR DE 8:00 PM A 11:00 PM
</t>
    </r>
    <r>
      <rPr>
        <b/>
        <sz val="10"/>
        <color rgb="FF000000"/>
        <rFont val="Century Gothic"/>
      </rPr>
      <t>-DESPLAZAMIENTO EXTERNO-</t>
    </r>
  </si>
  <si>
    <t>COFFE BEAK BÁSICO POR 8 HORAS INCLUYE:
CAFÉ REFULAR, DESCAFEINADO, SELLECCIÓN DE TÉS. REFRESCOS,AGUA, REPOSTERÍA CASERA O GALLETAS SURTIDAS</t>
  </si>
  <si>
    <r>
      <t xml:space="preserve">COMPLEMENTOS COFFEE BREAK AM SNACKS INCLUYE:
TACOS CALLEJEROS DE RES O POLLO O CERDO
QUESADILLAS MEXICANAS: FLOR DE CALABAZA, HUITLACOCHE, CHCICHARRON DE CERDO
BROCHETAS DE QUESO SUIZO Y TOMATE CHERRY CON PESTO DE ALBAHACA
CRUDITÉS
MINI BAGEL DE SALMÓN  AHUMADO
CROISSANT RELLENO DE QUESO BRIE Y CHUTNEY DE FRUTOS ROJOS 
MINI BAGUETTE DE VEGETALES Y QUESO DE ABRA
VARIEDAD DE EMPANADAS HECHAS EN CASA
PAN CIABATTA,ROAST BEEF,MOSTAZA DIJON Y COMPOTA DE CEBOLLA
</t>
    </r>
    <r>
      <rPr>
        <b/>
        <sz val="10"/>
        <color rgb="FFFF0000"/>
        <rFont val="Century Gothic"/>
        <family val="2"/>
      </rPr>
      <t>-COSTO POR PERSONA INFORMATIVO NO SUMANDO A SELECCIONAR UNA OPCIÓN POR 1 HORA DE SERVICIO-</t>
    </r>
  </si>
  <si>
    <t>COFFE BEAK BÁSICO POR 4 HORAS INCLUYE:
CAFÉ REFULAR, DESCAFEINADO, SELLECCIÓN DE TÉS. REFRESCOS,AGUA, REPOSTERÍA CASERA O GALLETAS SURTIDAS</t>
  </si>
  <si>
    <r>
      <t>CENA DE CLAUSURA BUFFET A ELEGIR INCLUYE 3 HORAS DE SERVICIO,3 HORAS DE BARRA INTERNACIONAL
HASTA LAS 11:00 PM</t>
    </r>
    <r>
      <rPr>
        <b/>
        <sz val="10"/>
        <rFont val="Century Gothic"/>
        <family val="2"/>
      </rPr>
      <t xml:space="preserve">
(COSTO POR DESPLAZAMIENTO EN INTERIOR)</t>
    </r>
  </si>
  <si>
    <r>
      <t>CONEXIONES ELECTRICAS DE 0 A 50 AMP</t>
    </r>
    <r>
      <rPr>
        <b/>
        <sz val="10"/>
        <rFont val="Century Gothic"/>
        <family val="2"/>
      </rPr>
      <t xml:space="preserve"> INCLUIDA</t>
    </r>
    <r>
      <rPr>
        <sz val="10"/>
        <rFont val="Century Gothic"/>
        <family val="2"/>
      </rPr>
      <t>, SI SE REBASA ESTOS AMP TIENE COSTO ADICIONAL</t>
    </r>
    <r>
      <rPr>
        <b/>
        <sz val="10"/>
        <rFont val="Century Gothic"/>
        <family val="2"/>
      </rPr>
      <t xml:space="preserve"> (EQUIPO AUDIOVISUAL)</t>
    </r>
  </si>
  <si>
    <r>
      <t>FEE DE PROVEEDOR EXTERNO DE GRUPOS MIUSICALES O DE ENTRETENIMIENTO COSTO POR DÍA POR EVENTO A UN TIPO DE CAMBIO DE $20.00 A PAGO DEL DÍA</t>
    </r>
    <r>
      <rPr>
        <b/>
        <sz val="10"/>
        <color rgb="FFFF0000"/>
        <rFont val="Century Gothic"/>
        <family val="2"/>
      </rPr>
      <t xml:space="preserve"> 
-INFORMATIVO NO SUMANDO-</t>
    </r>
  </si>
  <si>
    <r>
      <t xml:space="preserve">FEE DE PROVEEDOR EXTERNO DE MAQUILLISTA-ESTILISTA COSTO POR EVENTO A UN TIPO DE CAMBIO DE $20.00 PAGO DEL DÍA
</t>
    </r>
    <r>
      <rPr>
        <b/>
        <sz val="10"/>
        <color rgb="FFFF0000"/>
        <rFont val="Century Gothic"/>
        <family val="2"/>
      </rPr>
      <t>-INFORMATIVO NO SUMANDO-</t>
    </r>
  </si>
  <si>
    <r>
      <t>PREMONTAJE EN SALÓN PLENARIO A PARTIR DE LAS 13:00 HORAS SUJETO A DISPONIBILIDAD EL DÍA 03 DE ENERO</t>
    </r>
    <r>
      <rPr>
        <b/>
        <sz val="10"/>
        <rFont val="Century Gothic"/>
        <family val="2"/>
      </rPr>
      <t xml:space="preserve"> -SALÓN ARENA-</t>
    </r>
    <r>
      <rPr>
        <sz val="10"/>
        <rFont val="Century Gothic"/>
        <family val="2"/>
      </rPr>
      <t xml:space="preserve">
</t>
    </r>
    <r>
      <rPr>
        <b/>
        <sz val="10"/>
        <rFont val="Century Gothic"/>
        <family val="2"/>
      </rPr>
      <t>-CORTESIA-</t>
    </r>
  </si>
  <si>
    <r>
      <t xml:space="preserve">SALÓN PLENARIO ARENA O SIMILAR
INVITADOS 140 PAX </t>
    </r>
    <r>
      <rPr>
        <b/>
        <sz val="10"/>
        <rFont val="Century Gothic"/>
        <family val="2"/>
      </rPr>
      <t>-CORTESIA-</t>
    </r>
  </si>
  <si>
    <r>
      <t>BREAK OUT 1 SALUD FEMENINA
SALÓN AZUL 3
INVITADOS 34 PAX</t>
    </r>
    <r>
      <rPr>
        <b/>
        <sz val="10"/>
        <rFont val="Century Gothic"/>
        <family val="2"/>
      </rPr>
      <t xml:space="preserve"> -CORTESIA-</t>
    </r>
  </si>
  <si>
    <r>
      <t xml:space="preserve">BREAK OUT 2 NEURO
SALÓN AZUL 6
INVITADOS 60 PAX </t>
    </r>
    <r>
      <rPr>
        <b/>
        <sz val="10"/>
        <rFont val="Century Gothic"/>
        <family val="2"/>
      </rPr>
      <t>-COSTESIA-</t>
    </r>
  </si>
  <si>
    <r>
      <t xml:space="preserve">BREAK OUT 3 COMERCIAL
SALÓN INDIGO &amp; CELESTE
INVITADOS 30 PAX </t>
    </r>
    <r>
      <rPr>
        <b/>
        <sz val="10"/>
        <rFont val="Century Gothic"/>
        <family val="2"/>
      </rPr>
      <t>-COSTESIA-</t>
    </r>
  </si>
  <si>
    <r>
      <t xml:space="preserve">BREAK OUT 4 ONCO
SALÓN MARINO
INVITADOS 8 PAX </t>
    </r>
    <r>
      <rPr>
        <b/>
        <sz val="10"/>
        <rFont val="Century Gothic"/>
        <family val="2"/>
      </rPr>
      <t>-COSTESIA-</t>
    </r>
  </si>
  <si>
    <r>
      <t xml:space="preserve">BREAK OUT 5 GENERAL
SALÓN AZUL C O SIMILAR
INVITADOS 111 PAX </t>
    </r>
    <r>
      <rPr>
        <b/>
        <sz val="10"/>
        <rFont val="Century Gothic"/>
        <family val="2"/>
      </rPr>
      <t>-COSTESIA-</t>
    </r>
  </si>
  <si>
    <r>
      <t xml:space="preserve">BREAK OUT 6 CARDIO
SALÓN AZUL 4
INVITADOS 80 PAX </t>
    </r>
    <r>
      <rPr>
        <b/>
        <sz val="10"/>
        <rFont val="Century Gothic"/>
        <family val="2"/>
      </rPr>
      <t>-COSTESIA-</t>
    </r>
  </si>
  <si>
    <r>
      <t xml:space="preserve">BREAK OUT 7 GASTRO
SALÓN AZUL 5
INVITADOS 50 PAX </t>
    </r>
    <r>
      <rPr>
        <b/>
        <sz val="10"/>
        <rFont val="Century Gothic"/>
        <family val="2"/>
      </rPr>
      <t>-COSTESIA-</t>
    </r>
  </si>
  <si>
    <t>11-14 DE ENERO 2027</t>
  </si>
  <si>
    <t xml:space="preserve"> AVA CANCÚN</t>
  </si>
  <si>
    <r>
      <rPr>
        <sz val="10"/>
        <color rgb="FF000000"/>
        <rFont val="Century Gothic"/>
      </rPr>
      <t xml:space="preserve">COFFE BEAK BÁSICO POR 4 HORAS INCLUYE:
CAFÉ REgULAR, DESCAFEINADO, SELLECCIÓN DE TÉS. REFRESCOS,AGUA, REPOSTERÍA CASERA O GALLETAS SURTIDAS
</t>
    </r>
    <r>
      <rPr>
        <b/>
        <sz val="10"/>
        <color rgb="FF000000"/>
        <rFont val="Century Gothic"/>
      </rPr>
      <t>CORTESIA</t>
    </r>
  </si>
  <si>
    <r>
      <rPr>
        <sz val="10"/>
        <color rgb="FF000000"/>
        <rFont val="Century Gothic"/>
      </rPr>
      <t xml:space="preserve">COMPLEMENTOS COFFEE BREAK PM SNACKS  
</t>
    </r>
    <r>
      <rPr>
        <b/>
        <sz val="10"/>
        <color rgb="FFFF0000"/>
        <rFont val="Century Gothic"/>
      </rPr>
      <t>-COSTO POR PERSONA INFORMATIVO NO SUMANDO A SELECCIONAR UNA OPCIÓN POR 1 HORA DE SERVICIO-</t>
    </r>
  </si>
  <si>
    <r>
      <t xml:space="preserve">COCTEL DE BIENVENIDA CON BARRA LIBRE ACOMPAÑADA DE CANAPÉS POR 1 HORA 
ÁREA SUJETA A DISPONIBILIDAD
</t>
    </r>
    <r>
      <rPr>
        <b/>
        <sz val="10"/>
        <rFont val="Century Gothic"/>
        <family val="2"/>
      </rPr>
      <t>-CORTESÍA-</t>
    </r>
  </si>
  <si>
    <r>
      <t xml:space="preserve">CENA PRIVADA DE BIENVENIDA HASTA POR 4 HORAS INCLUYE: 4 HORAS DE EVENTO , BANQUETE DE MENÚ ESTABLECIDO BARRA LIBRE PREMIUM,USO DE TERRAZA O SALÓN 
MONTAJE BÁSICO DEL HOTEL (MESAS REDONDAS,MANTELERIA, SILLAS Y CRISTALERIA)
</t>
    </r>
    <r>
      <rPr>
        <b/>
        <sz val="10"/>
        <rFont val="Century Gothic"/>
        <family val="2"/>
      </rPr>
      <t>NO INCLUYE</t>
    </r>
    <r>
      <rPr>
        <sz val="10"/>
        <rFont val="Century Gothic"/>
        <family val="2"/>
      </rPr>
      <t xml:space="preserve">: EQUIPO DE AUDIO,MÚSICA,FIESTAS TEMA O ESCENOGRAFÍAS
HASTA LAS 11:00 PM EN SALÓN 
HASTA LAS 10:00 PM EN ÁREAS EXTERNAS
</t>
    </r>
    <r>
      <rPr>
        <b/>
        <sz val="10"/>
        <rFont val="Century Gothic"/>
        <family val="2"/>
      </rPr>
      <t>-CORTESIA-</t>
    </r>
  </si>
  <si>
    <r>
      <t>DESAYUNO BUFFET PARA HOSPEDADOS</t>
    </r>
    <r>
      <rPr>
        <b/>
        <sz val="10"/>
        <rFont val="Century Gothic"/>
        <family val="2"/>
      </rPr>
      <t xml:space="preserve"> -CORTESIA-</t>
    </r>
  </si>
  <si>
    <r>
      <rPr>
        <sz val="10"/>
        <color rgb="FF000000"/>
        <rFont val="Century Gothic"/>
      </rPr>
      <t xml:space="preserve">COFFE BEAK BÁSICO POR 8 HORAS INCLUYE:
CAFÉ REFULAR, DESCAFEINADO, SELLECCIÓN DE TÉS. REFRESCOS,AGUA, REPOSTERÍA CASERA O GALLETAS SURTIDAS
</t>
    </r>
    <r>
      <rPr>
        <b/>
        <sz val="10"/>
        <color rgb="FF000000"/>
        <rFont val="Century Gothic"/>
      </rPr>
      <t>CORTESIA</t>
    </r>
  </si>
  <si>
    <r>
      <rPr>
        <sz val="10"/>
        <color rgb="FF000000"/>
        <rFont val="Century Gothic"/>
      </rPr>
      <t xml:space="preserve">COMPLEMENTOS COFFEE BREAK AM SNACKS  
</t>
    </r>
    <r>
      <rPr>
        <b/>
        <sz val="10"/>
        <color rgb="FFFF0000"/>
        <rFont val="Century Gothic"/>
      </rPr>
      <t>-COSTO POR PERSONA INFORMATIVO NO SUMANDO A SELECCIONAR UNA OPCIÓN POR 1 HORA DE SERVICIO-</t>
    </r>
  </si>
  <si>
    <r>
      <rPr>
        <sz val="10"/>
        <color rgb="FF000000"/>
        <rFont val="Century Gothic"/>
      </rPr>
      <t xml:space="preserve">COMPLEMENTOS COFFEE BREAK PM  
</t>
    </r>
    <r>
      <rPr>
        <b/>
        <sz val="10"/>
        <color rgb="FFFF0000"/>
        <rFont val="Century Gothic"/>
      </rPr>
      <t>-COSTO POR PERSONA INFORMATIVO NO SUMANDO A SELECCIONAR UNA OPCIÓN POR 1 HORA DE SERVICIO-</t>
    </r>
  </si>
  <si>
    <r>
      <rPr>
        <sz val="10"/>
        <color rgb="FF000000"/>
        <rFont val="Century Gothic"/>
      </rPr>
      <t xml:space="preserve">COFFE BEAK BÁSICO POR 4 HORAS INCLUYE:
CAFÉ REFULAR, DESCAFEINADO, SELLECCIÓN DE TÉS. REFRESCOS,AGUA, REPOSTERÍA CASERA O GALLETAS SURTIDAS
</t>
    </r>
    <r>
      <rPr>
        <b/>
        <sz val="10"/>
        <color rgb="FF000000"/>
        <rFont val="Century Gothic"/>
      </rPr>
      <t>CORTESIA</t>
    </r>
  </si>
  <si>
    <r>
      <rPr>
        <sz val="10"/>
        <color rgb="FF000000"/>
        <rFont val="Century Gothic"/>
      </rPr>
      <t xml:space="preserve">COMPLEMENTOS COFFEE BREAK AM  
</t>
    </r>
    <r>
      <rPr>
        <b/>
        <sz val="10"/>
        <color rgb="FFFF0000"/>
        <rFont val="Century Gothic"/>
      </rPr>
      <t>-COSTO POR PERSONA INFORMATIVO NO SUMANDO A SELECCIONAR UNA OPCIÓN POR 1 HORA DE SERVICIO-</t>
    </r>
  </si>
  <si>
    <r>
      <rPr>
        <sz val="10"/>
        <color rgb="FF000000"/>
        <rFont val="Century Gothic"/>
      </rPr>
      <t xml:space="preserve">CENA PRIVADA DE CLAUSURA PARA EL GRUPO HASTA POR 4 HORAS INCLUYE: BANQUETE DE MENÚ ESTABLECIDO, BARRA LIBRE PREMIUM,USO DE TERRAZA O SALÓN PARA EL EVENTTO, MONTAJE BÁSICO DEL HOTEL (MESEROS,CAPITÁN Y BAR TENDER)
</t>
    </r>
    <r>
      <rPr>
        <b/>
        <sz val="10"/>
        <color rgb="FF000000"/>
        <rFont val="Century Gothic"/>
      </rPr>
      <t>NO INCLUYE:</t>
    </r>
    <r>
      <rPr>
        <sz val="10"/>
        <color rgb="FF000000"/>
        <rFont val="Century Gothic"/>
      </rPr>
      <t xml:space="preserve"> EQUIPO DE AUDIO,MÚSICA,FIESTAS TEMA O ESCENOGRAFÍA
HASTA LAS 11:00 PM EN SALÓN 
HASTA LAS 10:00 PM EN ÁREAS EXTERNAS
</t>
    </r>
    <r>
      <rPr>
        <b/>
        <sz val="10"/>
        <color rgb="FF000000"/>
        <rFont val="Century Gothic"/>
      </rPr>
      <t>CORTESIA</t>
    </r>
  </si>
  <si>
    <t>TOTAL TELEMARKETINGPESOS</t>
  </si>
  <si>
    <r>
      <rPr>
        <sz val="10"/>
        <color rgb="FF000000"/>
        <rFont val="Century Gothic"/>
      </rPr>
      <t xml:space="preserve">FEE DE PROVEEDOR EXTERNO DE EQUIPO DE AUDIOVISUAL Y CUALQUIER OTRO POR DÍA POR EVENTO SE TOMA A UN TIPO DE CAMBIO DE $20.00 SUJETO A PAGO DEL DÍA
</t>
    </r>
    <r>
      <rPr>
        <b/>
        <sz val="10"/>
        <color rgb="FFFF0000"/>
        <rFont val="Century Gothic"/>
      </rPr>
      <t>-INFORMATIVO NO SUMANDO-</t>
    </r>
  </si>
  <si>
    <r>
      <t>PREMONTAJE EN SALÓN PLENARIO A PARTIR DE LAS 13:00 HORAS SUJETO A DISPONIBILIDAD EL DÍA 11 DE ENERO</t>
    </r>
    <r>
      <rPr>
        <b/>
        <sz val="10"/>
        <rFont val="Century Gothic"/>
        <family val="2"/>
      </rPr>
      <t xml:space="preserve"> -SALÓNAVA-</t>
    </r>
    <r>
      <rPr>
        <sz val="10"/>
        <rFont val="Century Gothic"/>
        <family val="2"/>
      </rPr>
      <t xml:space="preserve">
</t>
    </r>
    <r>
      <rPr>
        <b/>
        <sz val="10"/>
        <rFont val="Century Gothic"/>
        <family val="2"/>
      </rPr>
      <t>-CORTESIA-</t>
    </r>
  </si>
  <si>
    <r>
      <t xml:space="preserve">SALÓN PLENARIO ARENA O SIMILAR
INVITADOS 410 PAX </t>
    </r>
    <r>
      <rPr>
        <b/>
        <sz val="10"/>
        <rFont val="Century Gothic"/>
        <family val="2"/>
      </rPr>
      <t>-CORTESIA-</t>
    </r>
  </si>
  <si>
    <r>
      <t>BREAK OUT 1 SALUD FEMENINA
SALÓN GALA 1
INVITADOS 34 PAX</t>
    </r>
    <r>
      <rPr>
        <b/>
        <sz val="10"/>
        <rFont val="Century Gothic"/>
        <family val="2"/>
      </rPr>
      <t xml:space="preserve"> -CORTESIA-</t>
    </r>
  </si>
  <si>
    <r>
      <t xml:space="preserve">BREAK OUT 2 NEURO
SALÓN GALA 2
INVITADOS 60 PAX </t>
    </r>
    <r>
      <rPr>
        <b/>
        <sz val="10"/>
        <rFont val="Century Gothic"/>
        <family val="2"/>
      </rPr>
      <t>-COSTESIA-</t>
    </r>
  </si>
  <si>
    <r>
      <t xml:space="preserve">BREAK OUT 3 COMERCIAL
SALÓN GALA 3
INVITADOS 30 PAX </t>
    </r>
    <r>
      <rPr>
        <b/>
        <sz val="10"/>
        <rFont val="Century Gothic"/>
        <family val="2"/>
      </rPr>
      <t>-COSTESIA-</t>
    </r>
  </si>
  <si>
    <r>
      <t xml:space="preserve">BREAK OUT 4 ONCO
SALÓN GALA 4
INVITADOS 8 PAX </t>
    </r>
    <r>
      <rPr>
        <b/>
        <sz val="10"/>
        <rFont val="Century Gothic"/>
        <family val="2"/>
      </rPr>
      <t>-COSTESIA-</t>
    </r>
  </si>
  <si>
    <r>
      <t xml:space="preserve">BREAK OUT 5 GENERAL
SALÓN GALA 5
INVITADOS 111 PAX </t>
    </r>
    <r>
      <rPr>
        <b/>
        <sz val="10"/>
        <rFont val="Century Gothic"/>
        <family val="2"/>
      </rPr>
      <t>-COSTESIA-</t>
    </r>
  </si>
  <si>
    <r>
      <t xml:space="preserve">BREAK OUT 6 CARDIO
SALÓN GALA 6
INVITADOS 80 PAX </t>
    </r>
    <r>
      <rPr>
        <b/>
        <sz val="10"/>
        <rFont val="Century Gothic"/>
        <family val="2"/>
      </rPr>
      <t>-COSTESIA-</t>
    </r>
  </si>
  <si>
    <r>
      <t xml:space="preserve">BREAK OUT 7 GASTRO
SALÓN GALA 7
INVITADOS 50 PAX </t>
    </r>
    <r>
      <rPr>
        <b/>
        <sz val="10"/>
        <rFont val="Century Gothic"/>
        <family val="2"/>
      </rPr>
      <t>-COSTESIA-</t>
    </r>
  </si>
  <si>
    <t>01 - 04 DE FEBERO 2027</t>
  </si>
  <si>
    <t>MOON PALACE THE GRAND  CANCÚN</t>
  </si>
  <si>
    <t>HOSPEDAJE EN HABITACION SENCILLAS VISTA JARDIN</t>
  </si>
  <si>
    <r>
      <rPr>
        <sz val="10"/>
        <color rgb="FF000000"/>
        <rFont val="Century Gothic"/>
      </rPr>
      <t xml:space="preserve">DESAYUNO BUFFET PARA PARTICIPANTES DE AVANZADA 
</t>
    </r>
    <r>
      <rPr>
        <b/>
        <sz val="10"/>
        <color rgb="FF000000"/>
        <rFont val="Century Gothic"/>
      </rPr>
      <t>-INCLUIDA-</t>
    </r>
  </si>
  <si>
    <r>
      <rPr>
        <sz val="10"/>
        <color rgb="FF000000"/>
        <rFont val="Century Gothic"/>
      </rPr>
      <t xml:space="preserve">COFFE BEAK BÁSICO POR 4 HORAS INCLUYE:
CAFÉ REGULAR, DESCAFEINADO, SELLECCIÓN DE TÉS. REFRESCOS,AGUA, REPOSTERÍA CASERA O GALLETAS SURTIDAS
</t>
    </r>
    <r>
      <rPr>
        <b/>
        <sz val="10"/>
        <color rgb="FF000000"/>
        <rFont val="Century Gothic"/>
      </rPr>
      <t>-INCLUIDO-</t>
    </r>
  </si>
  <si>
    <r>
      <rPr>
        <sz val="10"/>
        <color rgb="FF000000"/>
        <rFont val="Century Gothic"/>
      </rPr>
      <t xml:space="preserve">COMPLEMENTOS COFFEE BREAK PM OPCIONES  A ELEGIR
</t>
    </r>
    <r>
      <rPr>
        <b/>
        <sz val="10"/>
        <color rgb="FFFF0000"/>
        <rFont val="Century Gothic"/>
      </rPr>
      <t>-COSTO POR PERSONA INFORMATIVO NO SUMANDO A SELECCIONAR UNA OPCIÓN POR 1 HORA DE SERVICIO-</t>
    </r>
  </si>
  <si>
    <t>COCTEL DE BIENVENIDA CON BARRA LIBRE ACOMPAÑADA DE CANAPÉS POR 1 HORA 
ÁREA SUJETA A DISPONIBILIDAD</t>
  </si>
  <si>
    <r>
      <rPr>
        <sz val="10"/>
        <color rgb="FF000000"/>
        <rFont val="Century Gothic"/>
      </rPr>
      <t xml:space="preserve">CENA PRIVADA DE BIENVENIDA EN AREA ABIERTA HASTA POR 4 HORAS
</t>
    </r>
    <r>
      <rPr>
        <b/>
        <sz val="10"/>
        <color rgb="FF000000"/>
        <rFont val="Century Gothic"/>
      </rPr>
      <t>NO INCLUYE</t>
    </r>
    <r>
      <rPr>
        <sz val="10"/>
        <color rgb="FF000000"/>
        <rFont val="Century Gothic"/>
      </rPr>
      <t xml:space="preserve">: EQUIPO DE AUDIO,MÚSICA,FIESTAS TEMA O ESCENOGRAFÍAS
HASTA LAS 11:00 PM EN SALÓN 
HASTA LAS 10:00 PM EN ÁREAS EXTERNAS
</t>
    </r>
    <r>
      <rPr>
        <b/>
        <sz val="10"/>
        <color rgb="FF000000"/>
        <rFont val="Century Gothic"/>
      </rPr>
      <t>-INCLUIDA-</t>
    </r>
  </si>
  <si>
    <r>
      <rPr>
        <sz val="10"/>
        <color rgb="FF000000"/>
        <rFont val="Century Gothic"/>
      </rPr>
      <t xml:space="preserve">COFFE BEAK BÁSICO POR 8 HORAS INCLUYE:
CAFÉ REFULAR, DESCAFEINADO, SELLECCIÓN DE TÉS. REFRESCOS,AGUA, REPOSTERÍA CASERA O GALLETAS SURTIDAS
</t>
    </r>
    <r>
      <rPr>
        <b/>
        <sz val="10"/>
        <color rgb="FF000000"/>
        <rFont val="Century Gothic"/>
      </rPr>
      <t>-INCLUIDO-</t>
    </r>
  </si>
  <si>
    <r>
      <rPr>
        <sz val="10"/>
        <color rgb="FF000000"/>
        <rFont val="Century Gothic"/>
      </rPr>
      <t xml:space="preserve">COMPLEMENTOS COFFEE BREAK AM 
</t>
    </r>
    <r>
      <rPr>
        <b/>
        <sz val="10"/>
        <color rgb="FFFF0000"/>
        <rFont val="Century Gothic"/>
      </rPr>
      <t>-COSTO POR PERSONA INFORMATIVO NO SUMANDO A SELECCIONAR UNA OPCIÓN POR 1 HORA DE SERVICIO-</t>
    </r>
  </si>
  <si>
    <r>
      <rPr>
        <sz val="10"/>
        <color rgb="FF000000"/>
        <rFont val="Century Gothic"/>
      </rPr>
      <t xml:space="preserve">COMPLEMENTOS COFFEE BREAK PM
</t>
    </r>
    <r>
      <rPr>
        <b/>
        <sz val="10"/>
        <color rgb="FFFF0000"/>
        <rFont val="Century Gothic"/>
      </rPr>
      <t>-COSTO POR PERSONA INFORMATIVO NO SUMANDO A SELECCIONAR UNA OPCIÓN POR 1 HORA DE SERVICIO-</t>
    </r>
  </si>
  <si>
    <r>
      <rPr>
        <sz val="10"/>
        <color rgb="FF000000"/>
        <rFont val="Century Gothic"/>
      </rPr>
      <t xml:space="preserve">COFFE BEAK BÁSICO POR 4 HORAS INCLUYE:
CAFÉ REFULAR, DESCAFEINADO, SELLECCIÓN DE TÉS. REFRESCOS,AGUA, REPOSTERÍA CASERA O GALLETAS SURTIDAS
</t>
    </r>
    <r>
      <rPr>
        <b/>
        <sz val="10"/>
        <color rgb="FF000000"/>
        <rFont val="Century Gothic"/>
      </rPr>
      <t>-INCLUIDO</t>
    </r>
  </si>
  <si>
    <r>
      <rPr>
        <sz val="10"/>
        <color rgb="FF000000"/>
        <rFont val="Century Gothic"/>
      </rPr>
      <t xml:space="preserve">CENA PRIVADA DE CLAUSURA EN SALON  HASTA POR 4 HORAS 
</t>
    </r>
    <r>
      <rPr>
        <b/>
        <sz val="10"/>
        <color rgb="FF000000"/>
        <rFont val="Century Gothic"/>
      </rPr>
      <t>NO INCLUYE:</t>
    </r>
    <r>
      <rPr>
        <sz val="10"/>
        <color rgb="FF000000"/>
        <rFont val="Century Gothic"/>
      </rPr>
      <t xml:space="preserve"> EQUIPO DE AUDIO,MÚSICA,FIESTAS TEMA O ESCENOGRAFÍA
HASTA LAS 11:00 PM EN SALÓN 
HASTA LAS 10:00 PM EN ÁREAS EXTERNAS
</t>
    </r>
    <r>
      <rPr>
        <b/>
        <sz val="10"/>
        <color rgb="FF000000"/>
        <rFont val="Century Gothic"/>
      </rPr>
      <t>-INCLUIDA</t>
    </r>
  </si>
  <si>
    <t>NO SE PERMITEN PROVEEDORES EXTERNOS NI CON CARGO POR DESPLAZAMIENTO</t>
  </si>
  <si>
    <r>
      <rPr>
        <sz val="10"/>
        <color rgb="FF000000"/>
        <rFont val="Century Gothic"/>
      </rPr>
      <t xml:space="preserve">PREMONTAJE EN SALÓN PLENARIO A PARTIR DE LAS 13:00 HORAS SUJETO A DISPONIBILIDAD  
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</si>
  <si>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SALÓN PLENARIO  
INVITADOS 410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</si>
  <si>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>BREAK OUT 1 SALUD FEMENINA
SALÓN ORION
INVITADOS 34 PAX</t>
    </r>
    <r>
      <rPr>
        <b/>
        <sz val="10"/>
        <color rgb="FF000000"/>
        <rFont val="Century Gothic"/>
      </rPr>
      <t xml:space="preserve"> -CORTESIA-</t>
    </r>
  </si>
  <si>
    <r>
      <rPr>
        <sz val="10"/>
        <color rgb="FF000000"/>
        <rFont val="Century Gothic"/>
      </rPr>
      <t xml:space="preserve">BREAK OUT 2 NEURO
SALÓN GALA 2
INVITADOS 60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</si>
  <si>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3 COMERCIAL
SALÓN TGB 1
INVITADOS 30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</si>
  <si>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4 ONCO
SALÓN ROOM
INVITADOS 8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</si>
  <si>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5 GENERAL
SALÓN TGB 3-8
INVITADOS 111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</si>
  <si>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6 CARDIO
SALÓN TGB 2
INVITADOS 80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</si>
  <si>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7 GASTRO
SALÓN MERCURIO
INVITADOS 50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</si>
  <si>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8 COMERCIAL
SALÓN NEPTUNO - CONFERENCE
INVITADOS 8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</si>
  <si>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9 INSTITUCIONALES
SALÓN SJV 1
INVITADOS 24 PAX </t>
    </r>
    <r>
      <rPr>
        <b/>
        <sz val="10"/>
        <color rgb="FF000000"/>
        <rFont val="Century Gothic"/>
      </rPr>
      <t>-CORTESIA-</t>
    </r>
  </si>
  <si>
    <t xml:space="preserve"> 04-07 ENERO  / 15-18 DE FEBRERO (2DA OPCION) 2027</t>
  </si>
  <si>
    <t>HOTEL PARADISSUS CANCUN</t>
  </si>
  <si>
    <r>
      <rPr>
        <sz val="10"/>
        <color rgb="FF000000"/>
        <rFont val="Century Gothic"/>
      </rPr>
      <t xml:space="preserve">COFFE BEAK BÁSICO POR 4 HORAS INCLUYE:
CAFÉ, SELLECCIÓN DE TÉS. REFRESCOS,AGUA, REPOSTERÍA CASERA O GALLETAS SURTIDAS
</t>
    </r>
    <r>
      <rPr>
        <b/>
        <sz val="10"/>
        <color rgb="FF000000"/>
        <rFont val="Century Gothic"/>
      </rPr>
      <t>-CORTESIA</t>
    </r>
  </si>
  <si>
    <r>
      <rPr>
        <sz val="10"/>
        <color rgb="FF000000"/>
        <rFont val="Century Gothic"/>
      </rPr>
      <t xml:space="preserve">COMPLEMENTOS COFFEE BREAK PM  
</t>
    </r>
    <r>
      <rPr>
        <b/>
        <sz val="10"/>
        <color rgb="FFFF0000"/>
        <rFont val="Century Gothic"/>
      </rPr>
      <t>-COSTO POR PERSONA INFORMATIVO NO SUMANDO A SELECCIONAR UNA OPCIÓN POR 1 HORA DE SERVICIO-</t>
    </r>
  </si>
  <si>
    <r>
      <rPr>
        <sz val="10"/>
        <color rgb="FF000000"/>
        <rFont val="Century Gothic"/>
      </rPr>
      <t xml:space="preserve">COCTEL DE BIENVENIDA POR 2 HORAS CON BARRA LIBRE Y 6 CANAPES EN AREA EXTERIOR (EXCEPTO PLAYA)
</t>
    </r>
    <r>
      <rPr>
        <b/>
        <sz val="10"/>
        <color rgb="FF000000"/>
        <rFont val="Century Gothic"/>
      </rPr>
      <t xml:space="preserve">-CORTESIA-
</t>
    </r>
    <r>
      <rPr>
        <sz val="10"/>
        <color rgb="FF000000"/>
        <rFont val="Century Gothic"/>
      </rPr>
      <t xml:space="preserve"> </t>
    </r>
  </si>
  <si>
    <r>
      <rPr>
        <sz val="10"/>
        <color rgb="FF000000"/>
        <rFont val="Century Gothic"/>
      </rPr>
      <t xml:space="preserve">CENA DE BIENVENIDA BUFFET EN EXTERIOR CON 3 HORAS DE OPEN BAR HASTA LAS 23:00 HRS.
</t>
    </r>
    <r>
      <rPr>
        <b/>
        <sz val="10"/>
        <color rgb="FF000000"/>
        <rFont val="Century Gothic"/>
      </rPr>
      <t>-SIN CARGO DE SET UP-</t>
    </r>
  </si>
  <si>
    <r>
      <rPr>
        <sz val="10"/>
        <color rgb="FF000000"/>
        <rFont val="Century Gothic"/>
      </rPr>
      <t xml:space="preserve">COFFE BEAK BÁSICO POR 8 HORAS INCLUYE:
CAFÉ, SELLECCIÓN DE TÉS. REFRESCOS,AGUA, REPOSTERÍA CASERA O GALLETAS SURTIDAS
</t>
    </r>
    <r>
      <rPr>
        <b/>
        <sz val="10"/>
        <color rgb="FF000000"/>
        <rFont val="Century Gothic"/>
      </rPr>
      <t>-CORTESIA</t>
    </r>
  </si>
  <si>
    <r>
      <rPr>
        <sz val="10"/>
        <color rgb="FF000000"/>
        <rFont val="Century Gothic"/>
      </rPr>
      <t xml:space="preserve">COMPLEMENTOS COFFEE BREAK AM
</t>
    </r>
    <r>
      <rPr>
        <b/>
        <sz val="10"/>
        <color rgb="FFFF0000"/>
        <rFont val="Century Gothic"/>
      </rPr>
      <t>-COSTO POR PERSONA INFORMATIVO NO SUMANDO A SELECCIONAR UNA OPCIÓN POR 1 HORA DE SERVICIO-</t>
    </r>
  </si>
  <si>
    <r>
      <rPr>
        <sz val="10"/>
        <color rgb="FF000000"/>
        <rFont val="Century Gothic"/>
      </rPr>
      <t xml:space="preserve">CENA DE CLAUSURA BUFFET EN SALON CON 3 HORAS DE OPEN BAR HASTA LAS 23:00 HRS.
</t>
    </r>
    <r>
      <rPr>
        <b/>
        <sz val="10"/>
        <color rgb="FF000000"/>
        <rFont val="Century Gothic"/>
      </rPr>
      <t>-SIN CARGO DE SET UP-</t>
    </r>
  </si>
  <si>
    <r>
      <rPr>
        <sz val="10"/>
        <color rgb="FF000000"/>
        <rFont val="Century Gothic"/>
      </rPr>
      <t xml:space="preserve">FEE DE PROVEEDOR EXTERNO  POR DÍA POR EVENTO SE TOMA A UN TIPO DE CAMBIO DE $20.00 SUJETO A PAGO DEL DÍA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</si>
  <si>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>MONTAJE EN EXTERIOR (EXCEPTO PLAYA) POR 3 HORAS CON MENU TIPO  BUFFET, HASTA LAS 22:00 HRS.
-</t>
    </r>
    <r>
      <rPr>
        <b/>
        <sz val="10"/>
        <color rgb="FFFF0000"/>
        <rFont val="Century Gothic"/>
      </rPr>
      <t>INFORMATIVO NO SUMANDO-</t>
    </r>
  </si>
  <si>
    <r>
      <rPr>
        <sz val="10"/>
        <color rgb="FF000000"/>
        <rFont val="Century Gothic"/>
      </rPr>
      <t>MONTAJE EN PLAYA POR 3 HORAS CON MENU TIPO  BUFFET, HASTA LAS 22:00 HRS.
-</t>
    </r>
    <r>
      <rPr>
        <b/>
        <sz val="10"/>
        <color rgb="FFFF0000"/>
        <rFont val="Century Gothic"/>
      </rPr>
      <t>INFORMATIVO NO SUMANDO-</t>
    </r>
  </si>
  <si>
    <r>
      <rPr>
        <sz val="10"/>
        <color rgb="FF000000"/>
        <rFont val="Century Gothic"/>
      </rPr>
      <t>MONTAJE PRIVADO EN SALON POR 3 HORAS CON MENU TIPO  BUFFET
-</t>
    </r>
    <r>
      <rPr>
        <b/>
        <sz val="10"/>
        <color rgb="FFFF0000"/>
        <rFont val="Century Gothic"/>
      </rPr>
      <t>INFORMATIVO NO SUMANDO-</t>
    </r>
  </si>
  <si>
    <r>
      <rPr>
        <sz val="10"/>
        <color rgb="FF000000"/>
        <rFont val="Century Gothic"/>
      </rPr>
      <t xml:space="preserve">CAMBIO DE MENU DE TIPO BUFFET A EMPLATADO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</si>
  <si>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 xml:space="preserve">PREMONTAJE EN SALÓN PLENARIO  SUJETO A DISPONIBILIDAD  
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</si>
  <si>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SALÓN PLENARIO  DEL PRADO
INVITADOS 140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</si>
  <si>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>BREAK OUT 1 SALUD FEMENINA
SALÓN 1
INVITADOS 34 PAX</t>
    </r>
    <r>
      <rPr>
        <b/>
        <sz val="10"/>
        <color rgb="FF000000"/>
        <rFont val="Century Gothic"/>
      </rPr>
      <t xml:space="preserve"> -CORTESIA-</t>
    </r>
  </si>
  <si>
    <r>
      <rPr>
        <sz val="10"/>
        <color rgb="FF000000"/>
        <rFont val="Century Gothic"/>
      </rPr>
      <t xml:space="preserve">BREAK OUT 2 NEURO
SALÓN 2
INVITADOS 60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</si>
  <si>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3 COMERCIAL
SALÓN 3
INVITADOS 30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</si>
  <si>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4 ONCO
SALÓN 4
INVITADOS 8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</si>
  <si>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5 GENERAL
SALÓN 5
INVITADOS 111 PAX </t>
    </r>
    <r>
      <rPr>
        <b/>
        <sz val="10"/>
        <color rgb="FF000000"/>
        <rFont val="Century Gothic"/>
      </rPr>
      <t>-COSTESIA-</t>
    </r>
  </si>
  <si>
    <r>
      <rPr>
        <sz val="10"/>
        <color rgb="FF000000"/>
        <rFont val="Century Gothic"/>
      </rPr>
      <t xml:space="preserve">BREAK OUT 6 CARDIO
SALÓN 6
INVITADOS 80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</si>
  <si>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7 GASTRO
SALÓN AZUL 7
INVITADOS 50 PAX </t>
    </r>
    <r>
      <rPr>
        <b/>
        <sz val="10"/>
        <color rgb="FF000000"/>
        <rFont val="Century Gothic"/>
      </rPr>
      <t>-CORTESIA-</t>
    </r>
  </si>
  <si>
    <t>1° - 04 DE FEBRERO  2027</t>
  </si>
  <si>
    <t>HOTEL PARADISSUS PLAYA DEL CARMEN</t>
  </si>
  <si>
    <t>PLAYA DEL CARMEN</t>
  </si>
  <si>
    <r>
      <rPr>
        <sz val="10"/>
        <color rgb="FF000000"/>
        <rFont val="Century Gothic"/>
      </rPr>
      <t xml:space="preserve">PREMONTAJE EN SALÓN PLENARIO JAGUAR Y  CYPRESS,  SUJETO A DISPONIBILIDAD  
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</si>
  <si>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SALÓN PLENARIO  JAGUAR Y CYPRESS
INVITADOS 140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</si>
  <si>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7 EN TOTAL  
SALONES CEIBA Y CYPRESS
</t>
    </r>
    <r>
      <rPr>
        <b/>
        <sz val="10"/>
        <color rgb="FF000000"/>
        <rFont val="Century Gothic"/>
      </rPr>
      <t xml:space="preserve"> -CORTESIA-</t>
    </r>
  </si>
  <si>
    <t>18 - 21 DE ENERO 2027</t>
  </si>
  <si>
    <t>HOTEL OCCIDENTAL AT XCARET DESTINATION</t>
  </si>
  <si>
    <r>
      <rPr>
        <sz val="10"/>
        <color rgb="FF000000"/>
        <rFont val="Century Gothic"/>
      </rPr>
      <t xml:space="preserve">COFFE BEAK BÁSICO POR 4 HORAS INCLUYE:
CAFÉ, SELLECCIÓN DE TÉS,AGUA, PAN DULCE (MAÑANA), GALLETAS Y CRUDITES (TARDE).
</t>
    </r>
    <r>
      <rPr>
        <b/>
        <sz val="10"/>
        <color rgb="FF000000"/>
        <rFont val="Century Gothic"/>
      </rPr>
      <t>-CORTESIA</t>
    </r>
  </si>
  <si>
    <r>
      <rPr>
        <sz val="10"/>
        <color rgb="FF000000"/>
        <rFont val="Century Gothic"/>
      </rPr>
      <t xml:space="preserve">COCTEL DE BIENVENIDA POR 1 HORAS CON BARRA LIBRE Y CANAPES BASICOS
</t>
    </r>
    <r>
      <rPr>
        <b/>
        <sz val="10"/>
        <color rgb="FF000000"/>
        <rFont val="Century Gothic"/>
      </rPr>
      <t xml:space="preserve">-CORTESIA-
</t>
    </r>
    <r>
      <rPr>
        <sz val="10"/>
        <color rgb="FF000000"/>
        <rFont val="Century Gothic"/>
      </rPr>
      <t xml:space="preserve"> </t>
    </r>
  </si>
  <si>
    <t xml:space="preserve">CENA DE BIENVENIDA BUFFET POR 4 HORAS Y BARRA LIBRE EN CLUB DE PLAYA O EXPLANADA
</t>
  </si>
  <si>
    <t>PERSONAL DE SERVICIO PARA CENA</t>
  </si>
  <si>
    <r>
      <rPr>
        <sz val="10"/>
        <color rgb="FF000000"/>
        <rFont val="Century Gothic"/>
      </rPr>
      <t xml:space="preserve">COFFE BEAK BÁSICO POR 8 HORAS INCLUYE:
CAFÉ, SELLECCIÓN DE TÉS,AGUA, PAN DULCE (MAÑANA), GALLETAS Y CRUDITES (TARDE).
</t>
    </r>
    <r>
      <rPr>
        <b/>
        <sz val="10"/>
        <color rgb="FF000000"/>
        <rFont val="Century Gothic"/>
      </rPr>
      <t>-CORTESIA</t>
    </r>
  </si>
  <si>
    <r>
      <rPr>
        <sz val="10"/>
        <color rgb="FF000000"/>
        <rFont val="Century Gothic"/>
      </rPr>
      <t xml:space="preserve">COFFE BEAK BÁSICO POR 8 HORAS INCLUYE:
CAFÉ, SELLECCIÓN DE TÉS,AGUA, PAN DULCE (MAÑANA), GALLETAS Y CRUDITES (TARDE).
</t>
    </r>
    <r>
      <rPr>
        <b/>
        <sz val="10"/>
        <color rgb="FF000000"/>
        <rFont val="Century Gothic"/>
      </rPr>
      <t>-PARA XEL-HA 3-</t>
    </r>
  </si>
  <si>
    <r>
      <rPr>
        <sz val="10"/>
        <color rgb="FF000000"/>
        <rFont val="Century Gothic"/>
      </rPr>
      <t xml:space="preserve">CENA DE CLAUSURA BUFFET EN SALON CON 4 HORAS DE OPEN BAR HASTA LAS 23:00 HRS.
</t>
    </r>
    <r>
      <rPr>
        <b/>
        <sz val="10"/>
        <color rgb="FF000000"/>
        <rFont val="Century Gothic"/>
      </rPr>
      <t>-SIN CARGO DE SET UP-</t>
    </r>
  </si>
  <si>
    <t>MONTAJE EN PLAYA POR PERSONA POR HORA, NO INCLUYE PERSONAL DE SERVICIO</t>
  </si>
  <si>
    <r>
      <rPr>
        <sz val="10"/>
        <color rgb="FF000000"/>
        <rFont val="Century Gothic"/>
      </rPr>
      <t xml:space="preserve">CAMBIO DE MENU DE TIPO BUFFET A EMPLATADO EN SALON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</si>
  <si>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 xml:space="preserve">PREMONTAJE EN SALÓN PLENARIO XCARET 1 - 4,  SUJETO A DISPONIBILIDAD  
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</si>
  <si>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SALÓN PLENARIO XCARET 1 - 4
INVITADOS 140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</si>
  <si>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6 EN TOTAL 
SALONES XCARET 1 - 6
</t>
    </r>
    <r>
      <rPr>
        <b/>
        <sz val="10"/>
        <color rgb="FF000000"/>
        <rFont val="Century Gothic"/>
      </rPr>
      <t xml:space="preserve"> -CORTESIA-</t>
    </r>
  </si>
  <si>
    <r>
      <rPr>
        <sz val="10"/>
        <color rgb="FF000000"/>
        <rFont val="Century Gothic"/>
      </rPr>
      <t xml:space="preserve">BREAK OUT 7  
SALON XEL-HA 3
</t>
    </r>
    <r>
      <rPr>
        <sz val="10"/>
        <color rgb="FF000000"/>
        <rFont val="Century Gothic"/>
      </rPr>
      <t xml:space="preserve"> </t>
    </r>
  </si>
  <si>
    <t xml:space="preserve">  1° - 04 DE FEBRERO  2027</t>
  </si>
  <si>
    <t>1° - 04 DE FEBRERO 2027</t>
  </si>
  <si>
    <t>HOTEL HILTON TULUM</t>
  </si>
  <si>
    <t>TULUM</t>
  </si>
  <si>
    <r>
      <rPr>
        <sz val="10"/>
        <color rgb="FF000000"/>
        <rFont val="Century Gothic"/>
      </rPr>
      <t>CENA EN RESTAURANTE DEL HOTEL</t>
    </r>
    <r>
      <rPr>
        <b/>
        <sz val="10"/>
        <color rgb="FF000000"/>
        <rFont val="Century Gothic"/>
      </rPr>
      <t xml:space="preserve"> -INLCUIDA-</t>
    </r>
  </si>
  <si>
    <r>
      <rPr>
        <sz val="10"/>
        <color rgb="FF000000"/>
        <rFont val="Century Gothic"/>
      </rPr>
      <t xml:space="preserve">COFFE BEAK BÁSICO POR 4 HORAS INCLUYE:
CAFÉ,TÉ,REFRESCOS,AGUA EMBOTELLADA EN SALÓN PLENARIA
</t>
    </r>
    <r>
      <rPr>
        <b/>
        <sz val="10"/>
        <color rgb="FF000000"/>
        <rFont val="Century Gothic"/>
      </rPr>
      <t>-CORTESÍA-</t>
    </r>
  </si>
  <si>
    <r>
      <rPr>
        <sz val="10"/>
        <color rgb="FF000000"/>
        <rFont val="Century Gothic"/>
      </rPr>
      <t xml:space="preserve">COMPLEMENTOS AM A ELECCIÓN DEL CHEF  POR 2 HORAS
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</si>
  <si>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CENA DE BIENVENIDA  PLAYA PRICIPAL  TIPO BUFFET
</t>
    </r>
    <r>
      <rPr>
        <b/>
        <sz val="10"/>
        <color rgb="FFFF0000"/>
        <rFont val="Century Gothic"/>
      </rPr>
      <t xml:space="preserve">-CARGO DE DESPLAZAMIENTO POR PERSONA-
</t>
    </r>
  </si>
  <si>
    <r>
      <rPr>
        <sz val="10"/>
        <color rgb="FF000000"/>
        <rFont val="Century Gothic"/>
      </rPr>
      <t>DESAYUNO BUFFET PARA HOSPEDADOS</t>
    </r>
    <r>
      <rPr>
        <b/>
        <sz val="10"/>
        <color rgb="FF000000"/>
        <rFont val="Century Gothic"/>
      </rPr>
      <t xml:space="preserve"> -INCLUIIDO-</t>
    </r>
  </si>
  <si>
    <r>
      <rPr>
        <sz val="10"/>
        <color rgb="FF000000"/>
        <rFont val="Century Gothic"/>
      </rPr>
      <t xml:space="preserve">COFFE BEAK BÁSICO POR 8 HORAS INCLUYE:
CAFÉ,TÉ,REFRESCOS,AGUA EMBOTELLADA, EN BO´S
</t>
    </r>
    <r>
      <rPr>
        <b/>
        <sz val="10"/>
        <color rgb="FF000000"/>
        <rFont val="Century Gothic"/>
      </rPr>
      <t>-CORTESÍA-</t>
    </r>
  </si>
  <si>
    <r>
      <rPr>
        <sz val="10"/>
        <color rgb="FF000000"/>
        <rFont val="Century Gothic"/>
      </rPr>
      <t xml:space="preserve">COMPLEMENTOS PM A ELECCIÓN DEL CHEF  POR 1 HORAS
</t>
    </r>
    <r>
      <rPr>
        <b/>
        <sz val="10"/>
        <color rgb="FF000000"/>
        <rFont val="Century Gothic"/>
      </rPr>
      <t>-INCLUIDA-</t>
    </r>
  </si>
  <si>
    <r>
      <rPr>
        <sz val="10"/>
        <color rgb="FF000000"/>
        <rFont val="Century Gothic"/>
      </rPr>
      <t xml:space="preserve">COFFE BEAK BÁSICO POR 4 HORAS INCLUYE:
CAFÉ,TÉ,REFRESCOS,AGUA EMBOTELLADA,EN BO´S
</t>
    </r>
    <r>
      <rPr>
        <b/>
        <sz val="10"/>
        <color rgb="FF000000"/>
        <rFont val="Century Gothic"/>
      </rPr>
      <t>-CORTESÍA-</t>
    </r>
  </si>
  <si>
    <r>
      <rPr>
        <sz val="10"/>
        <color rgb="FF000000"/>
        <rFont val="Century Gothic"/>
      </rPr>
      <t>COMIDA BUFFET EN RESTAURANTES DEL HOTEL</t>
    </r>
    <r>
      <rPr>
        <b/>
        <sz val="10"/>
        <color rgb="FF000000"/>
        <rFont val="Century Gothic"/>
      </rPr>
      <t xml:space="preserve"> -INLCUIDA-</t>
    </r>
  </si>
  <si>
    <t>CENA DE CLAUSURA EN SALON TIPO BUFFET CON CARGO POR PERSONA</t>
  </si>
  <si>
    <t>TOTAL TELEMARKETING PESOS</t>
  </si>
  <si>
    <t xml:space="preserve">01-04 FEBRERO </t>
  </si>
  <si>
    <r>
      <rPr>
        <sz val="10"/>
        <color rgb="FF000000"/>
        <rFont val="Century Gothic"/>
      </rPr>
      <t xml:space="preserve">FEE DE PROVEEDOR EXTERNO D  POR DÍA POR EVENTO SE TOMA A UN TIPO DE CAMBIO DE $20.00 SUJETO A PAGO DEL DÍA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</si>
  <si>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 xml:space="preserve">PREMONTAJE EN SALÓN PLENARIO A PARTIR DE LAS 14:00  </t>
    </r>
    <r>
      <rPr>
        <b/>
        <sz val="10"/>
        <color rgb="FF000000"/>
        <rFont val="Century Gothic"/>
      </rPr>
      <t>-SALÓN TULKAL B Y C-
-CORTESIA-</t>
    </r>
  </si>
  <si>
    <r>
      <rPr>
        <sz val="10"/>
        <color rgb="FF000000"/>
        <rFont val="Century Gothic"/>
      </rPr>
      <t xml:space="preserve">SALÓN PLENARIO ARENA 
INVITADOS 410 PAX </t>
    </r>
    <r>
      <rPr>
        <b/>
        <sz val="10"/>
        <color rgb="FF000000"/>
        <rFont val="Century Gothic"/>
      </rPr>
      <t>-CORTESIA-</t>
    </r>
  </si>
  <si>
    <t>MARTES - MIERCOLES</t>
  </si>
  <si>
    <r>
      <rPr>
        <sz val="10"/>
        <color rgb="FF000000"/>
        <rFont val="Century Gothic"/>
      </rPr>
      <t>BREAK OUT 1 SALUD FEMENINA
SALÓNTULKAL D3
INVITADOS 34 PAX</t>
    </r>
    <r>
      <rPr>
        <b/>
        <sz val="10"/>
        <color rgb="FF000000"/>
        <rFont val="Century Gothic"/>
      </rPr>
      <t xml:space="preserve"> -CORTESIA-</t>
    </r>
  </si>
  <si>
    <r>
      <rPr>
        <sz val="10"/>
        <color rgb="FF000000"/>
        <rFont val="Century Gothic"/>
      </rPr>
      <t xml:space="preserve">BREAK OUT 2 NEURO
SALÓN TULKAL D4
INVITADOS 60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</si>
  <si>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3 COMERCIAL
SALÓN TULKAL D5
INVITADOS 30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</si>
  <si>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4 ONCO
SALÓN TULKAL A1
INVITADOS 8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</si>
  <si>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5 GENERAL
SALÓN TULKAL A2
INVITADOS 111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</si>
  <si>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6 CARDIO
SALÓN TULKAL B
INVITADOS 80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</si>
  <si>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 7 GASTRO
SALÓN TULKAL C
INVITADOS 50 PAX </t>
    </r>
    <r>
      <rPr>
        <b/>
        <sz val="10"/>
        <color rgb="FF000000"/>
        <rFont val="Century Gothic"/>
      </rPr>
      <t>-CORTESIA-</t>
    </r>
  </si>
  <si>
    <t>HOTEL GRAND FIESTA AMERICANA LOS CABOS</t>
  </si>
  <si>
    <t>LOS CABOS</t>
  </si>
  <si>
    <r>
      <rPr>
        <sz val="10"/>
        <color rgb="FF000000"/>
        <rFont val="Century Gothic"/>
      </rPr>
      <t xml:space="preserve">COFFE BEAK BÁSICO POR 4 HORAS INCLUYE:
CAFÉ,TÉ,REFRESCOS,AGUA, PAN /GALLETAS
</t>
    </r>
    <r>
      <rPr>
        <b/>
        <sz val="10"/>
        <color rgb="FF000000"/>
        <rFont val="Century Gothic"/>
      </rPr>
      <t>-CORTESÍA-</t>
    </r>
  </si>
  <si>
    <r>
      <rPr>
        <sz val="10"/>
        <color rgb="FF000000"/>
        <rFont val="Century Gothic"/>
      </rPr>
      <t xml:space="preserve">COMPLEMENTOS AM A ELECCIÓN DEL CHEF  POR 30 MIN.
</t>
    </r>
    <r>
      <rPr>
        <b/>
        <sz val="10"/>
        <color rgb="FFFF0000"/>
        <rFont val="Century Gothic"/>
      </rPr>
      <t>-INFORMATIVO, NO SUMANDO-</t>
    </r>
  </si>
  <si>
    <r>
      <rPr>
        <sz val="10"/>
        <color rgb="FF000000"/>
        <rFont val="Century Gothic"/>
      </rPr>
      <t xml:space="preserve">COCTEL DE BIENVENIDA POR 1 HORAS CON CANAPES A ELECCIÓN DEL CHEF Y BARRA LIBRE  
</t>
    </r>
    <r>
      <rPr>
        <b/>
        <sz val="10"/>
        <color rgb="FF000000"/>
        <rFont val="Century Gothic"/>
      </rPr>
      <t xml:space="preserve">-CORTESIA-
</t>
    </r>
    <r>
      <rPr>
        <sz val="10"/>
        <color rgb="FF000000"/>
        <rFont val="Century Gothic"/>
      </rPr>
      <t xml:space="preserve"> </t>
    </r>
  </si>
  <si>
    <r>
      <rPr>
        <sz val="10"/>
        <color rgb="FF000000"/>
        <rFont val="Century Gothic"/>
      </rPr>
      <t xml:space="preserve">CENA DE BIENVENIDA  PLAYA PRICIPAL  TIPO BUFFET CON DURACION DE 3 HORAS HASTA LAS 23:00 HRS
</t>
    </r>
    <r>
      <rPr>
        <b/>
        <sz val="10"/>
        <color rgb="FFFF0000"/>
        <rFont val="Century Gothic"/>
      </rPr>
      <t xml:space="preserve">-CARGO DE DESPLAZAMIENTO POR PERSONA-
</t>
    </r>
  </si>
  <si>
    <r>
      <rPr>
        <sz val="10"/>
        <color rgb="FF000000"/>
        <rFont val="Century Gothic"/>
      </rPr>
      <t xml:space="preserve">COFFE BEAK BÁSICO POR 8 HORAS INCLUYE:
CAFÉ,TÉ,REFRESCOS,AGUA, PAN /GALLETAS
</t>
    </r>
    <r>
      <rPr>
        <b/>
        <sz val="10"/>
        <color rgb="FF000000"/>
        <rFont val="Century Gothic"/>
      </rPr>
      <t>-CORTESÍA-</t>
    </r>
  </si>
  <si>
    <r>
      <rPr>
        <sz val="10"/>
        <color rgb="FF000000"/>
        <rFont val="Century Gothic"/>
      </rPr>
      <t xml:space="preserve">COMPLEMENTOS PM A ELECCIÓN DEL CHEF  POR 30 MIN.
</t>
    </r>
    <r>
      <rPr>
        <b/>
        <sz val="10"/>
        <color rgb="FFFF0000"/>
        <rFont val="Century Gothic"/>
      </rPr>
      <t>-INFORMATIVO, NO SUMANDO-</t>
    </r>
  </si>
  <si>
    <t>TRASLADO TERRESTRE -AEROPUERTO - HOTEL   VAN</t>
  </si>
  <si>
    <t>TRASLADO TERRESTRE -AEROPUERTO - HOTEL   SPRINTER</t>
  </si>
  <si>
    <t>TRASLADO TERRESTRE-AEROPUERTO - HOTEL BUS</t>
  </si>
  <si>
    <t>TRASLADO TERRESTRE HOTEL - AEROPUERTO VAN</t>
  </si>
  <si>
    <t>TRASLADO TERRESTRE HOTEL  - AEROPUERTO SPRINTER</t>
  </si>
  <si>
    <t>TRASLADO TERRESTRE HOTEL  - AEROPUERTO BUS</t>
  </si>
  <si>
    <r>
      <rPr>
        <sz val="10"/>
        <color rgb="FF000000"/>
        <rFont val="Century Gothic"/>
      </rPr>
      <t>FEE DE PROVEEDOR EXTERNO   POR DÍA POR EVENTO ,</t>
    </r>
    <r>
      <rPr>
        <b/>
        <sz val="10"/>
        <color rgb="FF000000"/>
        <rFont val="Century Gothic"/>
      </rPr>
      <t xml:space="preserve"> 10% DEL TOTAL FACTURADO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</si>
  <si>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 xml:space="preserve">SALÓN PLENARIO GRAND MASTER
INVITADOS 410 PAX </t>
    </r>
    <r>
      <rPr>
        <b/>
        <sz val="10"/>
        <color rgb="FF000000"/>
        <rFont val="Century Gothic"/>
      </rPr>
      <t>-CORTESIA-</t>
    </r>
  </si>
  <si>
    <t>LUNES (PRE-MONTAJE)
MARTES - MIERCOLES</t>
  </si>
  <si>
    <t>BREAK OUT, 7 EN TOTAL EN GRAND MASTER Y GRAND SLAM</t>
  </si>
  <si>
    <t>VUELO MEX-SJD-MEX</t>
  </si>
  <si>
    <t>1° - 04 DE MARZO 2026</t>
  </si>
  <si>
    <t>HARD ROCK LOS CABOS</t>
  </si>
  <si>
    <t>HOSPEDAJE EN HABITACION SENCILLAS  EN DELUXE PARTIAL</t>
  </si>
  <si>
    <t>HOSPEDAJE EN HABITACION SENCILLAS EN DELUXE PARTIAL</t>
  </si>
  <si>
    <t>HOSPEDAJE EN HABITACION DOBLES  DELUXE PARTIAL CON 2 CAMAS KING DOBLES</t>
  </si>
  <si>
    <t>HOSPEDAJE EN HABITACION DOBLES DELUXE PARTIAL CON 2 CAMAS KING DOBLES</t>
  </si>
  <si>
    <t>HOSPEDAJE EN HABITACION DOBLES ROCK ROYALTY CON 2 CAMAS KING DOBLES</t>
  </si>
  <si>
    <r>
      <rPr>
        <sz val="10"/>
        <color rgb="FF000000"/>
        <rFont val="Century Gothic"/>
      </rPr>
      <t>CENA EN RESTAURANTE DEL HOTEL</t>
    </r>
    <r>
      <rPr>
        <b/>
        <sz val="10"/>
        <color rgb="FF000000"/>
        <rFont val="Century Gothic"/>
      </rPr>
      <t xml:space="preserve"> INCLUIDA-</t>
    </r>
  </si>
  <si>
    <r>
      <rPr>
        <sz val="10"/>
        <color rgb="FF000000"/>
        <rFont val="Century Gothic"/>
      </rPr>
      <t xml:space="preserve">COFFE BEAK BÁSICO POR 4 HORAS INCLUYE:
CAFÉ REgULAR, DESCAFEINADO, SELLECCIÓN DE TÉS. REFRESCOS,AGUA, GALLETAS SURTIDAS
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</si>
  <si>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CENA PRIVADA DE BIENVENIDA HASTA POR 4 HORAS INCLUYE: 4 HORAS DE EVENTO , BANQUETE DE MENÚ ESTABLECIDO BARRA LIBRE PREMIUM,USO DE TERRAZA O SALÓN 
MONTAJE BÁSICO DEL HOTEL (MESAS REDONDAS,MANTELERIA, SILLAS Y CRISTALERIA)
</t>
    </r>
    <r>
      <rPr>
        <b/>
        <sz val="10"/>
        <color rgb="FF000000"/>
        <rFont val="Century Gothic"/>
      </rPr>
      <t>NO INCLUYE</t>
    </r>
    <r>
      <rPr>
        <sz val="10"/>
        <color rgb="FF000000"/>
        <rFont val="Century Gothic"/>
      </rPr>
      <t xml:space="preserve">: EQUIPO DE AUDIO,MÚSICA,FIESTAS TEMA O ESCENOGRAFÍAS
HASTA LAS 11:00 PM EN SALÓN 
HASTA LAS 10:30 PM EN ÁREAS EXTERNAS
</t>
    </r>
    <r>
      <rPr>
        <b/>
        <sz val="10"/>
        <color rgb="FF000000"/>
        <rFont val="Century Gothic"/>
      </rPr>
      <t xml:space="preserve">-CORTESIA-
</t>
    </r>
  </si>
  <si>
    <r>
      <rPr>
        <sz val="10"/>
        <color rgb="FF000000"/>
        <rFont val="Century Gothic"/>
      </rPr>
      <t xml:space="preserve">COFFE BEAK BÁSICO POR 8 HORAS INCLUYE:
CAFÉ REgULAR, DESCAFEINADO, SELLECCIÓN DE TÉS. REFRESCOS,AGUA, GALLETAS SURTIDAS
</t>
    </r>
    <r>
      <rPr>
        <b/>
        <sz val="10"/>
        <color rgb="FF000000"/>
        <rFont val="Century Gothic"/>
      </rPr>
      <t>-CORTESIA-</t>
    </r>
  </si>
  <si>
    <r>
      <t xml:space="preserve">CENA LIBRE EN RESTAURANTE DEL HOTEL  (SUJETOS A DISPONIBILIDAD)
</t>
    </r>
    <r>
      <rPr>
        <b/>
        <sz val="10"/>
        <rFont val="Century Gothic"/>
        <family val="2"/>
      </rPr>
      <t>-CORTESIA-</t>
    </r>
  </si>
  <si>
    <r>
      <rPr>
        <sz val="10"/>
        <color rgb="FF000000"/>
        <rFont val="Century Gothic"/>
      </rPr>
      <t>COMIDA BUFFET EN RESTAURANTES DEL HOTEL</t>
    </r>
    <r>
      <rPr>
        <b/>
        <sz val="10"/>
        <color rgb="FF000000"/>
        <rFont val="Century Gothic"/>
      </rPr>
      <t xml:space="preserve"> -INCLUIDO-</t>
    </r>
  </si>
  <si>
    <r>
      <rPr>
        <sz val="10"/>
        <color rgb="FF000000"/>
        <rFont val="Century Gothic"/>
      </rPr>
      <t xml:space="preserve">FEE DE PROVEEDOR   POR DÍA POR EVENTO SE TOMA A UN TIPO DE CAMBIO DE $20.00 SUJETO A PAGO DEL DÍA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</si>
  <si>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 xml:space="preserve">SALÓN PLENARIO2 SECCIONES DE HARMONY
INVITADOS 410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</si>
  <si>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BREAK OUTS 7 EN TOTAL EN HARMONY Y BEAT
</t>
    </r>
    <r>
      <rPr>
        <b/>
        <sz val="10"/>
        <color rgb="FF000000"/>
        <rFont val="Century Gothic"/>
      </rPr>
      <t>-CORTESIA</t>
    </r>
  </si>
  <si>
    <t>11-15 enero</t>
  </si>
  <si>
    <t>15 - 18 DE FEBERO 2027</t>
  </si>
  <si>
    <t>PARADISSUS PALMA REAL</t>
  </si>
  <si>
    <t>PUNTA CANA</t>
  </si>
  <si>
    <t xml:space="preserve">COFFE BEAK BÁSICO POR 4 HORAS INCLUYE:
CAFÉ REGULAR, TÉ, REFRESCOS,JUGO, BOLLERIA </t>
  </si>
  <si>
    <r>
      <rPr>
        <sz val="10"/>
        <color rgb="FF000000"/>
        <rFont val="Century Gothic"/>
      </rPr>
      <t xml:space="preserve">COCTEL DE BIENVENIDA CON BARRA LIBRE ACOMPAÑADA DE 4 CANAPÉS POR 1 HORA 
</t>
    </r>
    <r>
      <rPr>
        <b/>
        <sz val="10"/>
        <color rgb="FF000000"/>
        <rFont val="Century Gothic"/>
      </rPr>
      <t xml:space="preserve">-INCLUIDO-
</t>
    </r>
    <r>
      <rPr>
        <sz val="10"/>
        <color rgb="FF000000"/>
        <rFont val="Century Gothic"/>
      </rPr>
      <t>ÁREA SUJETA A DISPONIBILIDAD, SEMI PRIVADA O PRIVADA</t>
    </r>
  </si>
  <si>
    <r>
      <rPr>
        <sz val="10"/>
        <color rgb="FF000000"/>
        <rFont val="Century Gothic"/>
      </rPr>
      <t xml:space="preserve">CENA PRIVADA DE BIENVENIDA TIPO BUFFET POR 2 HORAS CON BARRA LIBRE
</t>
    </r>
    <r>
      <rPr>
        <b/>
        <sz val="10"/>
        <color rgb="FF000000"/>
        <rFont val="Century Gothic"/>
      </rPr>
      <t>NO INCLUYE</t>
    </r>
    <r>
      <rPr>
        <sz val="10"/>
        <color rgb="FF000000"/>
        <rFont val="Century Gothic"/>
      </rPr>
      <t xml:space="preserve">: EQUIPO DE AUDIO,MÚSICA,FIESTAS TEMA O ESCENOGRAFÍAS
 </t>
    </r>
    <r>
      <rPr>
        <b/>
        <sz val="10"/>
        <color rgb="FF000000"/>
        <rFont val="Century Gothic"/>
      </rPr>
      <t>-INCLUIDA-</t>
    </r>
  </si>
  <si>
    <t xml:space="preserve">COFFE BEAK BÁSICO POR 8 HORAS INCLUYE:
CAFÉ REGULAR, TÉ, REFRESCOS,JUGO, BOLLERIA </t>
  </si>
  <si>
    <r>
      <rPr>
        <sz val="10"/>
        <color rgb="FF000000"/>
        <rFont val="Century Gothic"/>
      </rPr>
      <t xml:space="preserve">CENA LIBRE EN RESTAURANTES DEL HOTEL  (SUJETOS A DISPONIBILIDAD)
</t>
    </r>
    <r>
      <rPr>
        <b/>
        <sz val="10"/>
        <color rgb="FF000000"/>
        <rFont val="Century Gothic"/>
      </rPr>
      <t>-INCLUIDA-</t>
    </r>
  </si>
  <si>
    <r>
      <rPr>
        <sz val="10"/>
        <color rgb="FF000000"/>
        <rFont val="Century Gothic"/>
      </rPr>
      <t xml:space="preserve">CENA PRIVADA DE CLAUSURA TIPO BUFFET POR 2 HORAS 
</t>
    </r>
    <r>
      <rPr>
        <b/>
        <sz val="10"/>
        <color rgb="FF000000"/>
        <rFont val="Century Gothic"/>
      </rPr>
      <t>NO INCLUYE:</t>
    </r>
    <r>
      <rPr>
        <sz val="10"/>
        <color rgb="FF000000"/>
        <rFont val="Century Gothic"/>
      </rPr>
      <t xml:space="preserve"> EQUIPO DE AUDIO,MÚSICA,FIESTAS TEMA O ESCENOGRAFÍA
</t>
    </r>
    <r>
      <rPr>
        <b/>
        <sz val="10"/>
        <color rgb="FF000000"/>
        <rFont val="Century Gothic"/>
      </rPr>
      <t>-INCLUIDA</t>
    </r>
  </si>
  <si>
    <t>TRASLADO TERRESTRE PUJ- HOTEL SEDAN</t>
  </si>
  <si>
    <t>TRASLADO TERRESTRE PUJ- HOTEL VAN</t>
  </si>
  <si>
    <t>TRASLADO TERRESTRE PUJ- HOTEL SPRINTER</t>
  </si>
  <si>
    <t>TRASLADO TERRESTRE PUJ- HOTEL BUS 59 PAX</t>
  </si>
  <si>
    <t>TRASLADO TERRESTRE HOTEL-APTO VAN</t>
  </si>
  <si>
    <t>TRASLADO TERRESTRE HOTEL-APTO BUS 45 PAX</t>
  </si>
  <si>
    <t>TRASLADO TERRESTRE HOTEL-APTO BUS 59 PAX</t>
  </si>
  <si>
    <r>
      <rPr>
        <sz val="10"/>
        <color rgb="FF000000"/>
        <rFont val="Century Gothic"/>
      </rPr>
      <t xml:space="preserve">FEE DE PROVEEDOR EXTERNO DE EQUIPO DE AUDIOVISUAL POR DÍA POR EVENTO SE TOMA A UN TIPO DE CAMBIO DE $20.00 SUJETO A PAGO DEL DÍA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</si>
  <si>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 xml:space="preserve">FEE DE PROVEEDOR EXTERNO DE DECORACION, MOBILIARIO, MAQUILLAJE, ENTRETENIMIENTO, PELUQUERIA Y FLORES, 25% DEL TOTAL COTIZADO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</si>
  <si>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 xml:space="preserve">FEE DE PROVEEDOR EXTERNO DE EQUIPO DE FOTOGRAFIA
</t>
    </r>
    <r>
      <rPr>
        <b/>
        <sz val="10"/>
        <color rgb="FFFF0000"/>
        <rFont val="Century Gothic"/>
      </rPr>
      <t>-INFORMATIVO NO SUMANDO-</t>
    </r>
  </si>
  <si>
    <t>CONSUMO ADICIONAL DE ENERGIA ELECTRICA TENDRA UN CARGO POR PARTE DEL HOTEL</t>
  </si>
  <si>
    <r>
      <rPr>
        <sz val="10"/>
        <color rgb="FF000000"/>
        <rFont val="Century Gothic"/>
      </rPr>
      <t xml:space="preserve">PROVEEDORES DE AUDIOVISUAL O STAND DEBERAN PRESENTAR UN CERTIFICADO DE RESPONSABILIDAD CIVIL POR:
</t>
    </r>
    <r>
      <rPr>
        <b/>
        <sz val="10"/>
        <color rgb="FFFF0000"/>
        <rFont val="Century Gothic"/>
      </rPr>
      <t>-INFORMATIVO NO SUMANDO-</t>
    </r>
  </si>
  <si>
    <r>
      <rPr>
        <sz val="10"/>
        <color rgb="FF000000"/>
        <rFont val="Century Gothic"/>
      </rPr>
      <t xml:space="preserve">PREMONTAJE EN SALÓN PLENARIO </t>
    </r>
    <r>
      <rPr>
        <b/>
        <sz val="10"/>
        <color rgb="FF000000"/>
        <rFont val="Century Gothic"/>
      </rPr>
      <t xml:space="preserve"> -GRAN BAVARO 6 Y 7-
-CORTESIA-</t>
    </r>
  </si>
  <si>
    <r>
      <rPr>
        <sz val="10"/>
        <color rgb="FF000000"/>
        <rFont val="Century Gothic"/>
      </rPr>
      <t xml:space="preserve">SALÓN PLENARIO GRAN BAVARO 6 Y 7
INVITADOS 410 PAX </t>
    </r>
    <r>
      <rPr>
        <b/>
        <sz val="10"/>
        <color rgb="FF000000"/>
        <rFont val="Century Gothic"/>
      </rPr>
      <t>-CORTESIA-</t>
    </r>
  </si>
  <si>
    <r>
      <rPr>
        <sz val="10"/>
        <color rgb="FF000000"/>
        <rFont val="Century Gothic"/>
      </rPr>
      <t xml:space="preserve">7 BREAK - OUT EN GRAN BAVARO 1 AL 7 INCLUYENDO PRE-MONTAJE EL DIA ANTERIOR   </t>
    </r>
    <r>
      <rPr>
        <b/>
        <sz val="10"/>
        <color rgb="FF000000"/>
        <rFont val="Century Gothic"/>
      </rPr>
      <t>-CORTESIA-</t>
    </r>
  </si>
  <si>
    <t>VUELO MEX-PUJ-MEX</t>
  </si>
  <si>
    <t>CONCENTRADO DE VUELOS</t>
  </si>
  <si>
    <t>CONAVE ABBOTT 01-04 FEBRERO DE 2027 CANCUN, QUINTANA ROO</t>
  </si>
  <si>
    <t xml:space="preserve"> INVITADO GENERAL (HCP)</t>
  </si>
  <si>
    <t>.</t>
  </si>
  <si>
    <t>ONE WAY</t>
  </si>
  <si>
    <t>ROUND  TRIP</t>
  </si>
  <si>
    <t>No</t>
  </si>
  <si>
    <t>EMPLOYEE</t>
  </si>
  <si>
    <t>LAST NAME</t>
  </si>
  <si>
    <t>NAME</t>
  </si>
  <si>
    <t>ORIGEN</t>
  </si>
  <si>
    <t>COMENTARIOS</t>
  </si>
  <si>
    <t>DATE</t>
  </si>
  <si>
    <t>FLIGHT</t>
  </si>
  <si>
    <t>RUTE</t>
  </si>
  <si>
    <t>DEPARTURE</t>
  </si>
  <si>
    <t>ARRIVAL</t>
  </si>
  <si>
    <t>CLASS</t>
  </si>
  <si>
    <t>CONF</t>
  </si>
  <si>
    <t>TKT</t>
  </si>
  <si>
    <t>RATE</t>
  </si>
  <si>
    <t>TAX</t>
  </si>
  <si>
    <t>TUA</t>
  </si>
  <si>
    <t>SERVICE CHARGE</t>
  </si>
  <si>
    <t>ACAPULCO</t>
  </si>
  <si>
    <t>UNICO VUELO ACAPULCO - AICM POR LA TARDE</t>
  </si>
  <si>
    <t>AM 307</t>
  </si>
  <si>
    <t>ACA-MEX</t>
  </si>
  <si>
    <t>AM 512</t>
  </si>
  <si>
    <t>MEX-CUN</t>
  </si>
  <si>
    <t>AM 535</t>
  </si>
  <si>
    <t>CUN-MEX</t>
  </si>
  <si>
    <t>AM 304</t>
  </si>
  <si>
    <t>MEX-ACA</t>
  </si>
  <si>
    <t>PERNOCTA+CLASICA</t>
  </si>
  <si>
    <t>AGUASCALIENTES</t>
  </si>
  <si>
    <t>AM 1631</t>
  </si>
  <si>
    <t>AGU-MEX</t>
  </si>
  <si>
    <t>Y4 3622</t>
  </si>
  <si>
    <t>CUN-AGU</t>
  </si>
  <si>
    <t>CLASICA+PLUS</t>
  </si>
  <si>
    <t>CELAYA</t>
  </si>
  <si>
    <t>UNICOS VUELOS DIRECTOS</t>
  </si>
  <si>
    <t>VB 2043</t>
  </si>
  <si>
    <t>BJX-CUN</t>
  </si>
  <si>
    <t>VB 2044</t>
  </si>
  <si>
    <t>CUN-BJX</t>
  </si>
  <si>
    <t>SMART</t>
  </si>
  <si>
    <t>CHIHUAHUA</t>
  </si>
  <si>
    <t>VB 2183</t>
  </si>
  <si>
    <t>CUU-CUN</t>
  </si>
  <si>
    <t>AM 531</t>
  </si>
  <si>
    <t>AM 146</t>
  </si>
  <si>
    <t>MEX-CUU</t>
  </si>
  <si>
    <t>SMART+CLASSICA</t>
  </si>
  <si>
    <t>CD. MEXICO</t>
  </si>
  <si>
    <t>VB 1022</t>
  </si>
  <si>
    <t>VB 1017</t>
  </si>
  <si>
    <t>Y4 106</t>
  </si>
  <si>
    <t>Y4 101</t>
  </si>
  <si>
    <t>PLUS</t>
  </si>
  <si>
    <t>CD. JUAREZ</t>
  </si>
  <si>
    <t>VB 8004</t>
  </si>
  <si>
    <t>CJS-CUN</t>
  </si>
  <si>
    <t>VB 8005</t>
  </si>
  <si>
    <t>CUN-CJS</t>
  </si>
  <si>
    <t>CANCUN</t>
  </si>
  <si>
    <t>LOCAL</t>
  </si>
  <si>
    <t>TEPIC</t>
  </si>
  <si>
    <t>AM 2033</t>
  </si>
  <si>
    <t>TPQ-MEX</t>
  </si>
  <si>
    <t>AM 521</t>
  </si>
  <si>
    <t>AM 2032</t>
  </si>
  <si>
    <t>MEX-TPQ</t>
  </si>
  <si>
    <t>CUERNAVACA</t>
  </si>
  <si>
    <t>PULLMAN</t>
  </si>
  <si>
    <t>CVJ, CASINO-AICM T1, T2</t>
  </si>
  <si>
    <t>APTO T1, T2-CVJ CASINO</t>
  </si>
  <si>
    <t>BUS+SMART+BUS</t>
  </si>
  <si>
    <t>CULIACAN</t>
  </si>
  <si>
    <t>CUL-MEX</t>
  </si>
  <si>
    <t>AM 524</t>
  </si>
  <si>
    <t>AM 513</t>
  </si>
  <si>
    <t>AM 164</t>
  </si>
  <si>
    <t>MEX-CUL</t>
  </si>
  <si>
    <t>CLASICA</t>
  </si>
  <si>
    <t>LOS MOCHIS</t>
  </si>
  <si>
    <t>UNICO VUELO DISPONIBLE DE LOS MOCHIS AL AICM</t>
  </si>
  <si>
    <t>AM 2133</t>
  </si>
  <si>
    <t>LMM-MEX</t>
  </si>
  <si>
    <t>AM 2132</t>
  </si>
  <si>
    <t>MEX-LMM</t>
  </si>
  <si>
    <t>MAZATLAN</t>
  </si>
  <si>
    <t>UNICO VUELO POR LA TARDE DE MAZATLAN AL AICM</t>
  </si>
  <si>
    <t>AM 357</t>
  </si>
  <si>
    <t>MZT-MEX</t>
  </si>
  <si>
    <t>AM 527</t>
  </si>
  <si>
    <t>AM 352</t>
  </si>
  <si>
    <t>MEX-MZT</t>
  </si>
  <si>
    <t>LERDO</t>
  </si>
  <si>
    <t>CHIHUAHUENSES</t>
  </si>
  <si>
    <t>LERDO-DGO CENTRAL</t>
  </si>
  <si>
    <t>AM 2601</t>
  </si>
  <si>
    <t>DGO-MEX</t>
  </si>
  <si>
    <t>AM 2604</t>
  </si>
  <si>
    <t>MEX-DGO</t>
  </si>
  <si>
    <t>DGO CENTRAL-LERDO</t>
  </si>
  <si>
    <t>BUS+CLASICA+BUS</t>
  </si>
  <si>
    <t>EDO. MEXICO</t>
  </si>
  <si>
    <t>VB 2273</t>
  </si>
  <si>
    <t>NLU-CUN</t>
  </si>
  <si>
    <t>VB 7066</t>
  </si>
  <si>
    <t>CUN-NLU</t>
  </si>
  <si>
    <t>PACHUCA</t>
  </si>
  <si>
    <t>VB 7416</t>
  </si>
  <si>
    <t>MERIDA</t>
  </si>
  <si>
    <t>AUTOBUS ADO DE ALTABRISA CANCUN</t>
  </si>
  <si>
    <t>ADO</t>
  </si>
  <si>
    <t>MID ALTABRISA-CUN T2</t>
  </si>
  <si>
    <t>CUN T2-MID ALTABRISA</t>
  </si>
  <si>
    <t>BUS</t>
  </si>
  <si>
    <t>GOMEZ PALACIO</t>
  </si>
  <si>
    <t>G. PALACIO CENTRAL A.-DGO CENTRAL</t>
  </si>
  <si>
    <t>DGO CENTRAL-G. PALACIO CENTRAL A.</t>
  </si>
  <si>
    <t>GUADALAJARA</t>
  </si>
  <si>
    <t>Y4 1048</t>
  </si>
  <si>
    <t>GDL-CUN</t>
  </si>
  <si>
    <t xml:space="preserve">Y4 1055 </t>
  </si>
  <si>
    <t>CUN-GDL</t>
  </si>
  <si>
    <t>HERMOSILLO</t>
  </si>
  <si>
    <t>AM 701</t>
  </si>
  <si>
    <t>HMO-MEX</t>
  </si>
  <si>
    <t>AM 520</t>
  </si>
  <si>
    <t>AM 712</t>
  </si>
  <si>
    <t>MEX-HMO</t>
  </si>
  <si>
    <t>IRAPUATO</t>
  </si>
  <si>
    <t>LEON</t>
  </si>
  <si>
    <t>MEXICALI</t>
  </si>
  <si>
    <t>UNICO VUELO DISPONIBLE DE MEXICALI AL AIFA</t>
  </si>
  <si>
    <t>AM 197</t>
  </si>
  <si>
    <t>MXL-MEX</t>
  </si>
  <si>
    <t>AM 551</t>
  </si>
  <si>
    <t>AM 198</t>
  </si>
  <si>
    <t>MEX-MXL</t>
  </si>
  <si>
    <t>MONTERREY</t>
  </si>
  <si>
    <t>Y4 5586</t>
  </si>
  <si>
    <t>MTY-CUN</t>
  </si>
  <si>
    <t>Y4 5585</t>
  </si>
  <si>
    <t>CUN-MTY</t>
  </si>
  <si>
    <t>MORELIA</t>
  </si>
  <si>
    <t>Y4 3629</t>
  </si>
  <si>
    <t>MLM-CUN</t>
  </si>
  <si>
    <t>Y4 3628</t>
  </si>
  <si>
    <t>CUN-MLM</t>
  </si>
  <si>
    <t>NUEVO LAREDO</t>
  </si>
  <si>
    <t>UNICO VUELO NUEVO LAREDO-AICM- NUEVO LAREDO</t>
  </si>
  <si>
    <t>AM 2971</t>
  </si>
  <si>
    <t>NLD-MEX</t>
  </si>
  <si>
    <t>AM 2970</t>
  </si>
  <si>
    <t>MEX-NLD</t>
  </si>
  <si>
    <t>OAXACA</t>
  </si>
  <si>
    <t>Y4 3599</t>
  </si>
  <si>
    <t>OAX-CUN</t>
  </si>
  <si>
    <t>Y4 3598</t>
  </si>
  <si>
    <t>CUN-OAX</t>
  </si>
  <si>
    <t>PUEBLA</t>
  </si>
  <si>
    <t>Y4 3553</t>
  </si>
  <si>
    <t>PBC-CUN</t>
  </si>
  <si>
    <t>Y4 3552</t>
  </si>
  <si>
    <t>CUN-PBC</t>
  </si>
  <si>
    <t>QUERETARO</t>
  </si>
  <si>
    <t>Y4 3515</t>
  </si>
  <si>
    <t>QRO-CUN</t>
  </si>
  <si>
    <t>Y4 3518</t>
  </si>
  <si>
    <t>CUN-QRO</t>
  </si>
  <si>
    <t>REYNOSA</t>
  </si>
  <si>
    <t>UNICOS VUELOS SALIENDO DE REYNOSA AL AICM Y DE REGRESO</t>
  </si>
  <si>
    <t>AM 1499</t>
  </si>
  <si>
    <t>REX-MEX</t>
  </si>
  <si>
    <t>AM 1498</t>
  </si>
  <si>
    <t>MEX-REX</t>
  </si>
  <si>
    <t>SALTILLO</t>
  </si>
  <si>
    <t>ETN</t>
  </si>
  <si>
    <t>SLW, CENTRAL-MTY CENTRAL A.</t>
  </si>
  <si>
    <t>MTY CENTRAL A.-SLW CENTRAL A.</t>
  </si>
  <si>
    <t>BUS+PLUS+BUS</t>
  </si>
  <si>
    <t>SAN LUIS POTOSI</t>
  </si>
  <si>
    <t>Y4 3589</t>
  </si>
  <si>
    <t>SLP-CUN</t>
  </si>
  <si>
    <t>Y4 3588</t>
  </si>
  <si>
    <t>CUN-SLP</t>
  </si>
  <si>
    <t>TAMPICO</t>
  </si>
  <si>
    <t>AM 1411</t>
  </si>
  <si>
    <t>TAM-MEX</t>
  </si>
  <si>
    <t>AM 516</t>
  </si>
  <si>
    <t>AM 1414</t>
  </si>
  <si>
    <t>MEX-TAM</t>
  </si>
  <si>
    <t>TIJUANA</t>
  </si>
  <si>
    <t xml:space="preserve">Y4 3080 </t>
  </si>
  <si>
    <t>TIJ-CUN</t>
  </si>
  <si>
    <t>Y4 3081</t>
  </si>
  <si>
    <t>CUN-TIJ</t>
  </si>
  <si>
    <t>TORREON</t>
  </si>
  <si>
    <t>AM 101</t>
  </si>
  <si>
    <t>TRC-MEX</t>
  </si>
  <si>
    <t>AM 104</t>
  </si>
  <si>
    <t>MEX-TRC</t>
  </si>
  <si>
    <t>TUXTLA GUTIERREZ</t>
  </si>
  <si>
    <t>Y4 3577</t>
  </si>
  <si>
    <t>TGZ-CUN</t>
  </si>
  <si>
    <t>Y4 3576</t>
  </si>
  <si>
    <t>CUN-TGZ</t>
  </si>
  <si>
    <t>VERACRUZ</t>
  </si>
  <si>
    <t>VB 2108</t>
  </si>
  <si>
    <t>VER-CUN</t>
  </si>
  <si>
    <t>VB 2102</t>
  </si>
  <si>
    <t>CUN-VER</t>
  </si>
  <si>
    <t>VILLAHERMOSA</t>
  </si>
  <si>
    <t>AM 801</t>
  </si>
  <si>
    <t>VSA-MEX</t>
  </si>
  <si>
    <t>AM 808</t>
  </si>
  <si>
    <t>MEX-VSA</t>
  </si>
  <si>
    <t>XALAPA</t>
  </si>
  <si>
    <t>XALAPA, CAXA-APTO VER</t>
  </si>
  <si>
    <t>APTO VER-XALAPA, CAXA</t>
  </si>
  <si>
    <t>BUS+PERNOCTA+SMART</t>
  </si>
  <si>
    <t>POZA RICA</t>
  </si>
  <si>
    <t>POZA RICA, CENTRAL-VER CENTRAL</t>
  </si>
  <si>
    <t>VER, CENTRAL-POZA RICA CENTRAL</t>
  </si>
  <si>
    <t>TOTALES</t>
  </si>
  <si>
    <t>PONENTES INVITADOS</t>
  </si>
  <si>
    <t>STAFF ABBOTT</t>
  </si>
  <si>
    <t>STAFF OZUM</t>
  </si>
  <si>
    <t>COSTO ANTES DE IMPUESTO</t>
  </si>
  <si>
    <t>CONAVE ABBOTT 18-21 ENERO DE 2027 CANCUN, QUINTANA ROO</t>
  </si>
  <si>
    <t>UNICO VUELO POR LA TARDE DE ACA-AICM</t>
  </si>
  <si>
    <t>AM 144</t>
  </si>
  <si>
    <t>VB 1029</t>
  </si>
  <si>
    <t>AM 190</t>
  </si>
  <si>
    <t>PERNOCTA+CLASICA+PERNOCTA</t>
  </si>
  <si>
    <t>AM 1416</t>
  </si>
  <si>
    <t>CONAVE ABBOTT 01-04 FEBRERO DE 2027 PUNTA CANA, REPUBLICA DOMINICANA</t>
  </si>
  <si>
    <t>ES ULTIMO VUELO EL 17 DE ENERO DE OTRA FORMA TENDRÍA QUE LLEGAR POR LA MAÑANA AL AICM</t>
  </si>
  <si>
    <t>AM 460</t>
  </si>
  <si>
    <t>MEX-PUJ</t>
  </si>
  <si>
    <t>AM 461</t>
  </si>
  <si>
    <t>PUJ-MEX</t>
  </si>
  <si>
    <t>AM 300</t>
  </si>
  <si>
    <t>AM 1637</t>
  </si>
  <si>
    <t>AM 1626</t>
  </si>
  <si>
    <t>MEX-AGU</t>
  </si>
  <si>
    <t>AM 153</t>
  </si>
  <si>
    <t>BJX-MEX</t>
  </si>
  <si>
    <t>AM 126</t>
  </si>
  <si>
    <t>MEX-BJX</t>
  </si>
  <si>
    <t>AM 147</t>
  </si>
  <si>
    <t>CUU-MEX</t>
  </si>
  <si>
    <t>AM 140</t>
  </si>
  <si>
    <t>CM 195</t>
  </si>
  <si>
    <t>MEX-PTY</t>
  </si>
  <si>
    <t>CM 893</t>
  </si>
  <si>
    <t>PTY-PUJ</t>
  </si>
  <si>
    <t>CM 426</t>
  </si>
  <si>
    <t>PUJ-PTY</t>
  </si>
  <si>
    <t>CM 138</t>
  </si>
  <si>
    <t>PTY-MEX</t>
  </si>
  <si>
    <t>CLASSIC</t>
  </si>
  <si>
    <t>EN ESTA OPCION LOS PASAJEROS DEBERAN SALIR DEL AIFA</t>
  </si>
  <si>
    <t>DM 7101</t>
  </si>
  <si>
    <t>NLU-PUJ</t>
  </si>
  <si>
    <t>DM 7104</t>
  </si>
  <si>
    <t>PUJ-NLU</t>
  </si>
  <si>
    <t>EXTRA</t>
  </si>
  <si>
    <t>AM 118</t>
  </si>
  <si>
    <t>CJS-MEX</t>
  </si>
  <si>
    <t>AM 113</t>
  </si>
  <si>
    <t>MEX-CJS</t>
  </si>
  <si>
    <t>DM 7006</t>
  </si>
  <si>
    <t>CUN-PUJ</t>
  </si>
  <si>
    <t>PUJ-CUN</t>
  </si>
  <si>
    <t>REQUIERE AUTOBUS PULLMAN, SE CONSIDERA EMILIANO ZAPATA Y JIUTEPEC</t>
  </si>
  <si>
    <t>CASINO CVJ - AICM T1 y T2</t>
  </si>
  <si>
    <t>AICM T1 y T2 - CASINO CVJ</t>
  </si>
  <si>
    <t>AUTOBUS+CLASICA+AUTOBUS</t>
  </si>
  <si>
    <t>AM 165</t>
  </si>
  <si>
    <t>AM 162</t>
  </si>
  <si>
    <t>ES UNICA FRECUENCIA DE LOS MOCHIS AL AICM</t>
  </si>
  <si>
    <t>AM 2080</t>
  </si>
  <si>
    <t>ES UNICO VUELO POR LA TARDE DE OTRA FORMA LLEGARÍA A LAS 12:45</t>
  </si>
  <si>
    <t>AM 350</t>
  </si>
  <si>
    <t>VIAJA EN ULTIMO VUELO DE DGO-MEX REQUIERE AUTOBUS</t>
  </si>
  <si>
    <t>LERDO-DGO, CENTRAL</t>
  </si>
  <si>
    <t>AM 2605</t>
  </si>
  <si>
    <t>AM 2602</t>
  </si>
  <si>
    <t>DGO A GOMEZ PALACIO</t>
  </si>
  <si>
    <t>BUS+PERNOCTA+CLASICA+PERNOCTA+BUS</t>
  </si>
  <si>
    <t>UNICOS VUELOS DISPONIBLES CON ARAJET, SE CONSIDERA A TIZAYUCA</t>
  </si>
  <si>
    <t>VIAJA CON AEROMEXICO Y ARAJET, REQUIERE PERNOCTA</t>
  </si>
  <si>
    <t>AM 875</t>
  </si>
  <si>
    <t>MID-NLU</t>
  </si>
  <si>
    <t>AM 878</t>
  </si>
  <si>
    <t>NLU-MID</t>
  </si>
  <si>
    <t>PERNOCTA+CLASICA+EXTRA</t>
  </si>
  <si>
    <t>REQUIERE AUTOBUS DE GOMEZ PALACIO A DURANGO CENTRAL DE AUTOBUSES / VIAJA EN ULTIMO VUELO DE DGO-MEX</t>
  </si>
  <si>
    <t>GOMEZ PALACIO A DGO</t>
  </si>
  <si>
    <t>CM 723</t>
  </si>
  <si>
    <t>GDL-PTY</t>
  </si>
  <si>
    <t>CM 177</t>
  </si>
  <si>
    <t>CM 749</t>
  </si>
  <si>
    <t>CM 775</t>
  </si>
  <si>
    <t>PTY-GDL</t>
  </si>
  <si>
    <t>CLASSIC+PERNOCTA</t>
  </si>
  <si>
    <t>AM 713</t>
  </si>
  <si>
    <t>AM 704</t>
  </si>
  <si>
    <t>CM 186</t>
  </si>
  <si>
    <t>MTY-PTY</t>
  </si>
  <si>
    <t>CM 351</t>
  </si>
  <si>
    <t>CM 797</t>
  </si>
  <si>
    <t>PTY-MTY</t>
  </si>
  <si>
    <t>AM2027</t>
  </si>
  <si>
    <t>MLM-MEX</t>
  </si>
  <si>
    <t>AM 2026</t>
  </si>
  <si>
    <t>MEX-MLM</t>
  </si>
  <si>
    <t>UNICAS FRECUENCIAS NLD-MEX-NLD</t>
  </si>
  <si>
    <t>AM 1055</t>
  </si>
  <si>
    <t>OAX-MEX</t>
  </si>
  <si>
    <t>AM 1046</t>
  </si>
  <si>
    <t>MEX-OAX</t>
  </si>
  <si>
    <t>REQUIERE AUTOBUS PUEBLA, CAPU - AICM</t>
  </si>
  <si>
    <t>PBC CAPU-AICM</t>
  </si>
  <si>
    <t>AICM- PBC CAPU</t>
  </si>
  <si>
    <t>PERNOCTA+BUS+CLASICA+BUS+PERNOCTA</t>
  </si>
  <si>
    <t>AM 2465</t>
  </si>
  <si>
    <t>QRO-MEX</t>
  </si>
  <si>
    <t>AM 2460</t>
  </si>
  <si>
    <t>MEX-QRO</t>
  </si>
  <si>
    <t>AUTOBUS IDA Y VUELTA SALE DE SALTILLO CENTRAL AUTOBUSES AL  AEROPUERTO DE MONTERREY T A</t>
  </si>
  <si>
    <t>OMNIBUS DE MEX</t>
  </si>
  <si>
    <t>SLW-MTY APTO T. A</t>
  </si>
  <si>
    <t>MTY T A-SLW</t>
  </si>
  <si>
    <t>BUS+CLASSIC+PERNOCTA+BUS</t>
  </si>
  <si>
    <t>AM 1541</t>
  </si>
  <si>
    <t>SLP-MEX</t>
  </si>
  <si>
    <t>AM 1534</t>
  </si>
  <si>
    <t>MEX-SLP</t>
  </si>
  <si>
    <t>SE INCLUYEN PAX DE ALTAMIRA, CD. MADERO Y TAMPICO</t>
  </si>
  <si>
    <t>AM 1417</t>
  </si>
  <si>
    <t>AM 1410</t>
  </si>
  <si>
    <t>AM 179</t>
  </si>
  <si>
    <t>TIJ-MEX</t>
  </si>
  <si>
    <t>AM 170</t>
  </si>
  <si>
    <t>MEX-TIJ</t>
  </si>
  <si>
    <t>AM 107</t>
  </si>
  <si>
    <t>TRC -MEX</t>
  </si>
  <si>
    <t>AM 102</t>
  </si>
  <si>
    <t>AM 319</t>
  </si>
  <si>
    <t>TGZ-MEX</t>
  </si>
  <si>
    <t>AM 314</t>
  </si>
  <si>
    <t>MEX-TGZ</t>
  </si>
  <si>
    <t>SE INCLYEN PAX DE BOCA DEL RIO Y OTRO DE FORTIN DE LAS FLORES/ ULTIMO VUELO DE VERACRUZ-AICM</t>
  </si>
  <si>
    <t>AM 863</t>
  </si>
  <si>
    <t>VER-MEX</t>
  </si>
  <si>
    <t>AM 852</t>
  </si>
  <si>
    <t>MEX-VER</t>
  </si>
  <si>
    <t>AM 811</t>
  </si>
  <si>
    <t>AM 802</t>
  </si>
  <si>
    <t xml:space="preserve">REQUIERE AUTOBUS PARA LLEVAR AL AEROPUERTO DE VERACRUZ, AUN SIN CORRIDAS EN 2027 </t>
  </si>
  <si>
    <t>XALAPA CAXCA AL APTO VER</t>
  </si>
  <si>
    <t>APTO VER A XALAPA CAXA</t>
  </si>
  <si>
    <t>AUTOBUS+PERNOCTA+CLASSICA+PERNOCTA+AUTOBUS</t>
  </si>
  <si>
    <t>ES PRACTICAMENTE EL MISMO TIEMPO DE TRASLADO DEL POZA RICA AL APTO DE VER QUE AL DEL AIFA</t>
  </si>
  <si>
    <t xml:space="preserve">OMNIBUS </t>
  </si>
  <si>
    <t>POZA RICA- NLU</t>
  </si>
  <si>
    <t>OMNIBUS</t>
  </si>
  <si>
    <t>NLU- POZA RICA</t>
  </si>
  <si>
    <t>BUS+EXTRA+BUS</t>
  </si>
  <si>
    <t>CONAVE ABBOTT 18-21 ENERO DE 2027 PUNTA CANA, REPUBLICA DOMINICANA</t>
  </si>
  <si>
    <t>DM 7003</t>
  </si>
  <si>
    <t>DM 7060</t>
  </si>
  <si>
    <t>AUTOBUS+CLASICA+PERNOCTA+AUTOBUS</t>
  </si>
  <si>
    <t>UNICO VUELO POR LA TARDE DE MAZATLA AL AICM</t>
  </si>
  <si>
    <t>DGO, CENTRAL - LERDO</t>
  </si>
  <si>
    <t>AUTOBUS+PERNOCTA+CLASICA+PERNOCTA+AUTOBUS</t>
  </si>
  <si>
    <t>ESTRA</t>
  </si>
  <si>
    <t>SLW-MTY T A</t>
  </si>
  <si>
    <t>BUS+CLASICA+PERNOCTA+BUS</t>
  </si>
  <si>
    <t>AM 177</t>
  </si>
  <si>
    <t>CONAVE ABBOTT 01-04 FEBRERO DE 2027 LOS CABOS, BAJA CALIFORNIA SUR MEXICO</t>
  </si>
  <si>
    <t>AM 303</t>
  </si>
  <si>
    <t>AM 384</t>
  </si>
  <si>
    <t>MEX-SJD</t>
  </si>
  <si>
    <t>AM 381</t>
  </si>
  <si>
    <t>SJD-MEX</t>
  </si>
  <si>
    <t>AM 1633</t>
  </si>
  <si>
    <t>AM 382</t>
  </si>
  <si>
    <t>AM 1634</t>
  </si>
  <si>
    <t>AM 131</t>
  </si>
  <si>
    <t>AM 385</t>
  </si>
  <si>
    <t>AM 152</t>
  </si>
  <si>
    <t>AM 141</t>
  </si>
  <si>
    <t>VB 1212</t>
  </si>
  <si>
    <t>VB 1213</t>
  </si>
  <si>
    <t>Y4 300</t>
  </si>
  <si>
    <t>Y4 301</t>
  </si>
  <si>
    <t>AM 112</t>
  </si>
  <si>
    <t>AM 117</t>
  </si>
  <si>
    <t>AM 536</t>
  </si>
  <si>
    <t>AM 379</t>
  </si>
  <si>
    <t>Y4 7476</t>
  </si>
  <si>
    <t>CUL-SJD</t>
  </si>
  <si>
    <t>Y4 7477</t>
  </si>
  <si>
    <t>SJD-CUL</t>
  </si>
  <si>
    <t>AM 2081</t>
  </si>
  <si>
    <t>AM 351</t>
  </si>
  <si>
    <t>AM 2603</t>
  </si>
  <si>
    <t>AIFA</t>
  </si>
  <si>
    <t>VB 9496</t>
  </si>
  <si>
    <t>NLU-SJD</t>
  </si>
  <si>
    <t>VB 9497</t>
  </si>
  <si>
    <t>SJD-NLU</t>
  </si>
  <si>
    <t>AM 827</t>
  </si>
  <si>
    <t>MID-MEX</t>
  </si>
  <si>
    <t>AM 838</t>
  </si>
  <si>
    <t>MEX-MID</t>
  </si>
  <si>
    <t xml:space="preserve">Y4 1144 </t>
  </si>
  <si>
    <t>GDL-SJD</t>
  </si>
  <si>
    <t>Y4 1145</t>
  </si>
  <si>
    <t>SJD-GDL</t>
  </si>
  <si>
    <t>AM 710</t>
  </si>
  <si>
    <t>AM 191</t>
  </si>
  <si>
    <t>Y4 7447</t>
  </si>
  <si>
    <t>SJD-MXL</t>
  </si>
  <si>
    <t>CLASICA+PLULS</t>
  </si>
  <si>
    <t>SOLO HAY 2 FRECUENCIAS AL REGRESO SOLO HAY VUELOS X LA MAÑANA</t>
  </si>
  <si>
    <t>VB 4324</t>
  </si>
  <si>
    <t>MTY-SJD</t>
  </si>
  <si>
    <t>VB 7097</t>
  </si>
  <si>
    <t>SJD-MTY</t>
  </si>
  <si>
    <t>AM 2445</t>
  </si>
  <si>
    <t>AM 378</t>
  </si>
  <si>
    <t>AM 1051</t>
  </si>
  <si>
    <t>AM 1050</t>
  </si>
  <si>
    <t>UNICOS VUELOS</t>
  </si>
  <si>
    <t>Y4 644</t>
  </si>
  <si>
    <t>PBC-SJD</t>
  </si>
  <si>
    <t>Y4 1396</t>
  </si>
  <si>
    <t>GDL-PBC</t>
  </si>
  <si>
    <t>AM 2461</t>
  </si>
  <si>
    <t>AM 2464</t>
  </si>
  <si>
    <t>AM 1537</t>
  </si>
  <si>
    <t>AM 1538</t>
  </si>
  <si>
    <t>AM 1413</t>
  </si>
  <si>
    <t>Y4 3100</t>
  </si>
  <si>
    <t>TIJ-SJD</t>
  </si>
  <si>
    <t>Y4 3101</t>
  </si>
  <si>
    <t>SJD-TIJ</t>
  </si>
  <si>
    <t>AM 103</t>
  </si>
  <si>
    <t>AM 106</t>
  </si>
  <si>
    <t>AM 313</t>
  </si>
  <si>
    <t>AM 318</t>
  </si>
  <si>
    <t>AM 855</t>
  </si>
  <si>
    <t>AM 860</t>
  </si>
  <si>
    <t>AM 803</t>
  </si>
  <si>
    <t>CONAVE ABBOTT 18-21 ENERO DE 2027 LOS CABOS, BAJA CALIFORNIA SUR MEXICO</t>
  </si>
  <si>
    <t>AM 832</t>
  </si>
  <si>
    <t>AM 315</t>
  </si>
  <si>
    <t>Y4 1251</t>
  </si>
  <si>
    <t>VER-GDL</t>
  </si>
  <si>
    <t>Y4 1142</t>
  </si>
  <si>
    <t>Y4 1252</t>
  </si>
  <si>
    <t>GDL-VER</t>
  </si>
  <si>
    <t>BUS+PERNOCTA+PLUS+PERNOCTA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</si>
</sst>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mmmm\-yy"/>
    <numFmt numFmtId="167" formatCode="_-\$* #,##0.00_-;&quot;-$&quot;* #,##0.00_-;_-\$* \-??_-;_-@_-"/>
  </numFmts>
  <fonts count="37">
    <font>
      <sz val="11"/>
      <color theme="1"/>
      <name val="Aptos Narrow"/>
      <family val="2"/>
      <scheme val="minor"/>
    </font>
    <font>
      <b/>
      <sz val="24"/>
      <name val="Calibri"/>
      <family val="2"/>
    </font>
    <font>
      <b/>
      <sz val="12"/>
      <name val="Calibri"/>
      <family val="2"/>
    </font>
    <font>
      <b/>
      <sz val="10"/>
      <name val="Century Gothic"/>
      <family val="2"/>
    </font>
    <font>
      <sz val="11"/>
      <color indexed="8"/>
      <name val="Calibri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10"/>
      <color theme="0"/>
      <name val="Century Gothic"/>
      <family val="2"/>
    </font>
    <font>
      <b/>
      <sz val="18"/>
      <name val="Century Gothic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0"/>
      <color rgb="FFFF0000"/>
      <name val="Century Gothic"/>
      <family val="2"/>
    </font>
    <font>
      <b/>
      <sz val="10"/>
      <color rgb="FFFF0000"/>
      <name val="Century Gothic"/>
      <family val="2"/>
    </font>
    <font>
      <b/>
      <sz val="11"/>
      <color indexed="8"/>
      <name val="Calibri"/>
      <family val="2"/>
    </font>
    <font>
      <b/>
      <sz val="10"/>
      <color indexed="8"/>
      <name val="Century Gothic"/>
      <family val="2"/>
    </font>
    <font>
      <b/>
      <sz val="10"/>
      <color indexed="10"/>
      <name val="Century Gothic"/>
      <family val="2"/>
    </font>
    <font>
      <sz val="10"/>
      <color rgb="FF000000"/>
      <name val="Century Gothic"/>
    </font>
    <font>
      <b/>
      <sz val="10"/>
      <color rgb="FF000000"/>
      <name val="Century Gothic"/>
    </font>
    <font>
      <b/>
      <sz val="10"/>
      <color rgb="FFFF0000"/>
      <name val="Century Gothic"/>
    </font>
    <font>
      <sz val="10"/>
      <name val="Century Gothic"/>
    </font>
    <font>
      <b/>
      <sz val="24"/>
      <name val="Calibri"/>
    </font>
    <font>
      <b/>
      <sz val="12"/>
      <name val="Calibri"/>
    </font>
    <font>
      <b/>
      <sz val="10"/>
      <name val="Century Gothic"/>
    </font>
    <font>
      <b/>
      <sz val="10"/>
      <color indexed="9"/>
      <name val="Century Gothic"/>
    </font>
    <font>
      <b/>
      <sz val="10"/>
      <color theme="0"/>
      <name val="Century Gothic"/>
    </font>
    <font>
      <sz val="10"/>
      <color rgb="FFFF0000"/>
      <name val="Century Gothic"/>
    </font>
    <font>
      <b/>
      <sz val="18"/>
      <name val="Century Gothic"/>
    </font>
    <font>
      <b/>
      <sz val="11"/>
      <color indexed="8"/>
      <name val="Calibri"/>
    </font>
    <font>
      <sz val="10"/>
      <color rgb="FF000000"/>
      <name val="Century Gothic"/>
      <family val="2"/>
    </font>
    <font>
      <sz val="10"/>
      <name val="Calibri"/>
    </font>
    <font>
      <b/>
      <sz val="18"/>
      <name val="Calibri"/>
    </font>
    <font>
      <b/>
      <sz val="10"/>
      <name val="Calibri"/>
    </font>
    <font>
      <sz val="10"/>
      <color indexed="8"/>
      <name val="Calibri"/>
    </font>
    <font>
      <b/>
      <sz val="10"/>
      <color rgb="FF00B050"/>
      <name val="Calibri"/>
    </font>
    <font>
      <sz val="10"/>
      <color rgb="FF00B050"/>
      <name val="Calibri"/>
    </font>
    <font>
      <b/>
      <sz val="10"/>
      <color theme="6" tint="0.39997558519241921"/>
      <name val="Calibri"/>
    </font>
    <font>
      <b/>
      <sz val="10"/>
      <color theme="5" tint="-0.249977111117893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0" fontId="10" fillId="0" borderId="0"/>
    <xf numFmtId="167" fontId="10" fillId="0" borderId="0" applyFill="0" applyBorder="0" applyAlignment="0" applyProtection="0"/>
    <xf numFmtId="165" fontId="10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</cellStyleXfs>
  <cellXfs count="534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0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/>
    </xf>
    <xf numFmtId="164" fontId="3" fillId="3" borderId="10" xfId="1" applyFont="1" applyFill="1" applyBorder="1" applyAlignment="1">
      <alignment horizontal="center"/>
    </xf>
    <xf numFmtId="0" fontId="5" fillId="3" borderId="0" xfId="0" applyFont="1" applyFill="1"/>
    <xf numFmtId="0" fontId="7" fillId="5" borderId="14" xfId="0" applyFont="1" applyFill="1" applyBorder="1" applyAlignment="1">
      <alignment horizontal="center" vertical="center"/>
    </xf>
    <xf numFmtId="0" fontId="5" fillId="0" borderId="16" xfId="0" applyFont="1" applyBorder="1" applyAlignment="1">
      <alignment wrapText="1"/>
    </xf>
    <xf numFmtId="0" fontId="5" fillId="0" borderId="16" xfId="0" applyFont="1" applyBorder="1" applyAlignment="1">
      <alignment horizontal="center" vertical="center"/>
    </xf>
    <xf numFmtId="164" fontId="5" fillId="0" borderId="16" xfId="1" applyFont="1" applyBorder="1" applyAlignment="1">
      <alignment horizontal="center" vertical="center"/>
    </xf>
    <xf numFmtId="164" fontId="5" fillId="0" borderId="17" xfId="1" applyFont="1" applyBorder="1" applyAlignment="1">
      <alignment horizontal="center" vertical="center"/>
    </xf>
    <xf numFmtId="16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164" fontId="5" fillId="0" borderId="19" xfId="1" applyFont="1" applyBorder="1" applyAlignment="1">
      <alignment horizontal="center" vertical="center"/>
    </xf>
    <xf numFmtId="164" fontId="5" fillId="0" borderId="20" xfId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6" borderId="21" xfId="0" applyFont="1" applyFill="1" applyBorder="1" applyAlignment="1">
      <alignment wrapText="1"/>
    </xf>
    <xf numFmtId="0" fontId="6" fillId="2" borderId="0" xfId="0" applyFont="1" applyFill="1"/>
    <xf numFmtId="164" fontId="6" fillId="2" borderId="0" xfId="1" applyFont="1" applyFill="1"/>
    <xf numFmtId="164" fontId="6" fillId="6" borderId="22" xfId="1" applyFont="1" applyFill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164" fontId="5" fillId="2" borderId="0" xfId="1" applyFont="1" applyFill="1"/>
    <xf numFmtId="164" fontId="6" fillId="6" borderId="23" xfId="1" applyFont="1" applyFill="1" applyBorder="1"/>
    <xf numFmtId="0" fontId="6" fillId="4" borderId="12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164" fontId="6" fillId="2" borderId="0" xfId="1" applyFont="1" applyFill="1" applyBorder="1"/>
    <xf numFmtId="164" fontId="5" fillId="0" borderId="16" xfId="1" applyFont="1" applyFill="1" applyBorder="1" applyAlignment="1">
      <alignment horizontal="center" vertical="center"/>
    </xf>
    <xf numFmtId="164" fontId="5" fillId="0" borderId="17" xfId="1" applyFont="1" applyFill="1" applyBorder="1" applyAlignment="1">
      <alignment horizontal="center" vertical="center"/>
    </xf>
    <xf numFmtId="164" fontId="5" fillId="0" borderId="19" xfId="1" applyFont="1" applyFill="1" applyBorder="1" applyAlignment="1">
      <alignment horizontal="center" vertical="center"/>
    </xf>
    <xf numFmtId="164" fontId="5" fillId="0" borderId="20" xfId="1" applyFont="1" applyFill="1" applyBorder="1" applyAlignment="1">
      <alignment horizontal="center" vertical="center"/>
    </xf>
    <xf numFmtId="0" fontId="6" fillId="0" borderId="0" xfId="0" applyFont="1"/>
    <xf numFmtId="164" fontId="6" fillId="0" borderId="0" xfId="1" applyFont="1"/>
    <xf numFmtId="164" fontId="6" fillId="4" borderId="13" xfId="1" applyFont="1" applyFill="1" applyBorder="1"/>
    <xf numFmtId="164" fontId="6" fillId="6" borderId="24" xfId="1" applyFont="1" applyFill="1" applyBorder="1"/>
    <xf numFmtId="0" fontId="6" fillId="4" borderId="12" xfId="0" applyFont="1" applyFill="1" applyBorder="1" applyAlignment="1">
      <alignment horizontal="left" vertical="center"/>
    </xf>
    <xf numFmtId="0" fontId="6" fillId="5" borderId="12" xfId="0" applyFont="1" applyFill="1" applyBorder="1" applyAlignment="1">
      <alignment horizontal="left" vertical="center"/>
    </xf>
    <xf numFmtId="0" fontId="9" fillId="0" borderId="0" xfId="0" applyFont="1"/>
    <xf numFmtId="0" fontId="5" fillId="0" borderId="27" xfId="0" applyFont="1" applyBorder="1" applyAlignment="1">
      <alignment wrapText="1"/>
    </xf>
    <xf numFmtId="0" fontId="5" fillId="0" borderId="27" xfId="0" applyFont="1" applyBorder="1" applyAlignment="1">
      <alignment horizontal="center" vertical="center"/>
    </xf>
    <xf numFmtId="164" fontId="5" fillId="0" borderId="27" xfId="1" applyFont="1" applyBorder="1" applyAlignment="1">
      <alignment horizontal="center" vertical="center"/>
    </xf>
    <xf numFmtId="164" fontId="5" fillId="0" borderId="28" xfId="1" applyFont="1" applyBorder="1" applyAlignment="1">
      <alignment horizontal="center" vertical="center"/>
    </xf>
    <xf numFmtId="0" fontId="5" fillId="0" borderId="29" xfId="0" applyFont="1" applyBorder="1" applyAlignment="1">
      <alignment wrapText="1"/>
    </xf>
    <xf numFmtId="0" fontId="5" fillId="0" borderId="29" xfId="0" applyFont="1" applyBorder="1" applyAlignment="1">
      <alignment horizontal="center" vertical="center"/>
    </xf>
    <xf numFmtId="164" fontId="5" fillId="0" borderId="29" xfId="1" applyFont="1" applyBorder="1" applyAlignment="1">
      <alignment horizontal="center" vertical="center"/>
    </xf>
    <xf numFmtId="164" fontId="5" fillId="0" borderId="30" xfId="1" applyFont="1" applyBorder="1" applyAlignment="1">
      <alignment horizontal="center" vertical="center"/>
    </xf>
    <xf numFmtId="16" fontId="5" fillId="0" borderId="31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wrapText="1"/>
    </xf>
    <xf numFmtId="0" fontId="5" fillId="0" borderId="32" xfId="0" applyFont="1" applyBorder="1" applyAlignment="1">
      <alignment horizontal="center" vertical="center"/>
    </xf>
    <xf numFmtId="164" fontId="5" fillId="0" borderId="32" xfId="1" applyFont="1" applyFill="1" applyBorder="1" applyAlignment="1">
      <alignment horizontal="center" vertical="center"/>
    </xf>
    <xf numFmtId="164" fontId="5" fillId="0" borderId="32" xfId="1" applyFont="1" applyBorder="1" applyAlignment="1">
      <alignment horizontal="center" vertical="center"/>
    </xf>
    <xf numFmtId="164" fontId="5" fillId="0" borderId="33" xfId="1" applyFont="1" applyFill="1" applyBorder="1" applyAlignment="1">
      <alignment horizontal="center" vertical="center"/>
    </xf>
    <xf numFmtId="0" fontId="5" fillId="0" borderId="34" xfId="0" applyFont="1" applyBorder="1" applyAlignment="1">
      <alignment wrapText="1"/>
    </xf>
    <xf numFmtId="0" fontId="5" fillId="0" borderId="34" xfId="0" applyFont="1" applyBorder="1" applyAlignment="1">
      <alignment horizontal="center" vertical="center"/>
    </xf>
    <xf numFmtId="164" fontId="5" fillId="0" borderId="34" xfId="1" applyFont="1" applyFill="1" applyBorder="1" applyAlignment="1">
      <alignment horizontal="center" vertical="center"/>
    </xf>
    <xf numFmtId="164" fontId="5" fillId="0" borderId="34" xfId="1" applyFont="1" applyBorder="1" applyAlignment="1">
      <alignment horizontal="center" vertical="center"/>
    </xf>
    <xf numFmtId="164" fontId="5" fillId="0" borderId="35" xfId="1" applyFont="1" applyFill="1" applyBorder="1" applyAlignment="1">
      <alignment horizontal="center" vertical="center"/>
    </xf>
    <xf numFmtId="164" fontId="5" fillId="0" borderId="29" xfId="1" applyFont="1" applyFill="1" applyBorder="1" applyAlignment="1">
      <alignment horizontal="center" vertical="center"/>
    </xf>
    <xf numFmtId="164" fontId="5" fillId="0" borderId="30" xfId="1" applyFont="1" applyFill="1" applyBorder="1" applyAlignment="1">
      <alignment horizontal="center" vertical="center"/>
    </xf>
    <xf numFmtId="164" fontId="5" fillId="0" borderId="27" xfId="1" applyFont="1" applyFill="1" applyBorder="1" applyAlignment="1">
      <alignment horizontal="center" vertical="center"/>
    </xf>
    <xf numFmtId="164" fontId="5" fillId="0" borderId="28" xfId="1" applyFont="1" applyFill="1" applyBorder="1" applyAlignment="1">
      <alignment horizontal="center" vertical="center"/>
    </xf>
    <xf numFmtId="164" fontId="6" fillId="5" borderId="21" xfId="1" applyFont="1" applyFill="1" applyBorder="1"/>
    <xf numFmtId="0" fontId="7" fillId="5" borderId="23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5" fillId="0" borderId="41" xfId="0" applyFont="1" applyBorder="1" applyAlignment="1">
      <alignment wrapText="1"/>
    </xf>
    <xf numFmtId="164" fontId="5" fillId="0" borderId="41" xfId="1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64" fontId="5" fillId="0" borderId="42" xfId="1" applyFont="1" applyFill="1" applyBorder="1" applyAlignment="1">
      <alignment horizontal="center" vertical="center"/>
    </xf>
    <xf numFmtId="164" fontId="5" fillId="0" borderId="41" xfId="1" applyFont="1" applyBorder="1" applyAlignment="1">
      <alignment horizontal="center" vertical="center"/>
    </xf>
    <xf numFmtId="16" fontId="5" fillId="0" borderId="22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left" wrapText="1"/>
    </xf>
    <xf numFmtId="0" fontId="5" fillId="0" borderId="41" xfId="0" applyFont="1" applyBorder="1" applyAlignment="1">
      <alignment horizontal="left" wrapText="1"/>
    </xf>
    <xf numFmtId="0" fontId="7" fillId="5" borderId="39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/>
    </xf>
    <xf numFmtId="164" fontId="5" fillId="0" borderId="42" xfId="1" applyFont="1" applyBorder="1" applyAlignment="1">
      <alignment horizontal="center" vertical="center"/>
    </xf>
    <xf numFmtId="0" fontId="6" fillId="4" borderId="38" xfId="0" applyFont="1" applyFill="1" applyBorder="1"/>
    <xf numFmtId="164" fontId="6" fillId="4" borderId="38" xfId="1" applyFont="1" applyFill="1" applyBorder="1"/>
    <xf numFmtId="0" fontId="7" fillId="5" borderId="39" xfId="0" applyFont="1" applyFill="1" applyBorder="1" applyAlignment="1">
      <alignment horizontal="left" vertical="center"/>
    </xf>
    <xf numFmtId="0" fontId="6" fillId="4" borderId="38" xfId="0" applyFont="1" applyFill="1" applyBorder="1" applyAlignment="1">
      <alignment wrapText="1"/>
    </xf>
    <xf numFmtId="0" fontId="6" fillId="4" borderId="38" xfId="0" applyFont="1" applyFill="1" applyBorder="1" applyAlignment="1">
      <alignment horizontal="right"/>
    </xf>
    <xf numFmtId="0" fontId="6" fillId="5" borderId="38" xfId="0" applyFont="1" applyFill="1" applyBorder="1" applyAlignment="1">
      <alignment wrapText="1"/>
    </xf>
    <xf numFmtId="0" fontId="6" fillId="5" borderId="38" xfId="0" applyFont="1" applyFill="1" applyBorder="1"/>
    <xf numFmtId="164" fontId="6" fillId="5" borderId="38" xfId="1" applyFont="1" applyFill="1" applyBorder="1"/>
    <xf numFmtId="0" fontId="6" fillId="5" borderId="38" xfId="0" applyFont="1" applyFill="1" applyBorder="1" applyAlignment="1">
      <alignment horizontal="right"/>
    </xf>
    <xf numFmtId="16" fontId="5" fillId="0" borderId="25" xfId="0" applyNumberFormat="1" applyFont="1" applyBorder="1" applyAlignment="1">
      <alignment horizontal="center" vertical="center"/>
    </xf>
    <xf numFmtId="0" fontId="5" fillId="0" borderId="36" xfId="0" applyFont="1" applyBorder="1" applyAlignment="1">
      <alignment wrapText="1"/>
    </xf>
    <xf numFmtId="16" fontId="5" fillId="0" borderId="23" xfId="0" applyNumberFormat="1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64" fontId="5" fillId="0" borderId="36" xfId="1" applyFont="1" applyBorder="1" applyAlignment="1">
      <alignment horizontal="center" vertical="center"/>
    </xf>
    <xf numFmtId="164" fontId="5" fillId="0" borderId="36" xfId="1" applyFont="1" applyFill="1" applyBorder="1" applyAlignment="1">
      <alignment horizontal="center" vertical="center"/>
    </xf>
    <xf numFmtId="164" fontId="5" fillId="0" borderId="37" xfId="1" applyFont="1" applyFill="1" applyBorder="1" applyAlignment="1">
      <alignment horizontal="center" vertical="center"/>
    </xf>
    <xf numFmtId="0" fontId="13" fillId="0" borderId="0" xfId="5" applyFont="1" applyAlignment="1">
      <alignment vertical="center"/>
    </xf>
    <xf numFmtId="0" fontId="11" fillId="0" borderId="36" xfId="0" applyFont="1" applyBorder="1" applyAlignment="1">
      <alignment wrapText="1"/>
    </xf>
    <xf numFmtId="0" fontId="11" fillId="0" borderId="36" xfId="0" applyFont="1" applyBorder="1" applyAlignment="1">
      <alignment horizontal="center" vertical="center"/>
    </xf>
    <xf numFmtId="164" fontId="11" fillId="0" borderId="36" xfId="1" applyFont="1" applyBorder="1" applyAlignment="1">
      <alignment horizontal="center" vertical="center"/>
    </xf>
    <xf numFmtId="164" fontId="11" fillId="0" borderId="37" xfId="1" applyFont="1" applyBorder="1" applyAlignment="1">
      <alignment horizontal="center" vertical="center"/>
    </xf>
    <xf numFmtId="0" fontId="5" fillId="0" borderId="16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0" xfId="6" applyFont="1" applyAlignment="1">
      <alignment horizontal="left" vertical="center"/>
    </xf>
    <xf numFmtId="0" fontId="14" fillId="5" borderId="44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4" fillId="0" borderId="45" xfId="7" applyFont="1" applyBorder="1" applyAlignment="1">
      <alignment horizontal="center" vertical="center" wrapText="1"/>
    </xf>
    <xf numFmtId="0" fontId="3" fillId="0" borderId="0" xfId="6" applyFont="1"/>
    <xf numFmtId="16" fontId="15" fillId="0" borderId="46" xfId="7" applyNumberFormat="1" applyFont="1" applyBorder="1" applyAlignment="1">
      <alignment horizontal="center"/>
    </xf>
    <xf numFmtId="0" fontId="5" fillId="0" borderId="0" xfId="6" applyFont="1"/>
    <xf numFmtId="0" fontId="14" fillId="0" borderId="47" xfId="7" applyFont="1" applyBorder="1" applyAlignment="1">
      <alignment horizontal="center" vertical="center"/>
    </xf>
    <xf numFmtId="0" fontId="15" fillId="0" borderId="0" xfId="6" applyFont="1" applyAlignment="1">
      <alignment horizontal="center"/>
    </xf>
    <xf numFmtId="0" fontId="14" fillId="0" borderId="48" xfId="7" applyFont="1" applyBorder="1" applyAlignment="1">
      <alignment horizontal="center" vertical="center"/>
    </xf>
    <xf numFmtId="0" fontId="14" fillId="5" borderId="13" xfId="6" applyFont="1" applyFill="1" applyBorder="1" applyAlignment="1">
      <alignment horizontal="center" vertical="center" wrapText="1"/>
    </xf>
    <xf numFmtId="0" fontId="0" fillId="0" borderId="47" xfId="0" applyBorder="1"/>
    <xf numFmtId="164" fontId="0" fillId="0" borderId="49" xfId="0" applyNumberFormat="1" applyBorder="1"/>
    <xf numFmtId="0" fontId="0" fillId="0" borderId="50" xfId="0" applyBorder="1"/>
    <xf numFmtId="0" fontId="0" fillId="8" borderId="45" xfId="0" applyFill="1" applyBorder="1"/>
    <xf numFmtId="164" fontId="0" fillId="8" borderId="51" xfId="0" applyNumberFormat="1" applyFill="1" applyBorder="1"/>
    <xf numFmtId="0" fontId="0" fillId="9" borderId="48" xfId="0" applyFill="1" applyBorder="1"/>
    <xf numFmtId="164" fontId="0" fillId="9" borderId="52" xfId="0" applyNumberFormat="1" applyFill="1" applyBorder="1"/>
    <xf numFmtId="164" fontId="9" fillId="0" borderId="0" xfId="0" applyNumberFormat="1" applyFont="1"/>
    <xf numFmtId="0" fontId="6" fillId="6" borderId="53" xfId="0" applyFont="1" applyFill="1" applyBorder="1" applyAlignment="1">
      <alignment wrapText="1"/>
    </xf>
    <xf numFmtId="16" fontId="5" fillId="0" borderId="0" xfId="0" applyNumberFormat="1" applyFont="1" applyAlignment="1">
      <alignment vertical="center"/>
    </xf>
    <xf numFmtId="0" fontId="16" fillId="0" borderId="34" xfId="0" applyFont="1" applyBorder="1" applyAlignment="1">
      <alignment wrapText="1"/>
    </xf>
    <xf numFmtId="0" fontId="16" fillId="0" borderId="36" xfId="0" applyFont="1" applyBorder="1" applyAlignment="1">
      <alignment wrapText="1"/>
    </xf>
    <xf numFmtId="0" fontId="16" fillId="0" borderId="41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19" fillId="0" borderId="27" xfId="0" applyFont="1" applyBorder="1" applyAlignment="1">
      <alignment wrapText="1"/>
    </xf>
    <xf numFmtId="0" fontId="16" fillId="0" borderId="27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164" fontId="5" fillId="0" borderId="54" xfId="1" applyFont="1" applyBorder="1" applyAlignment="1">
      <alignment horizontal="center" vertical="center"/>
    </xf>
    <xf numFmtId="0" fontId="14" fillId="0" borderId="0" xfId="7" applyFont="1" applyAlignment="1">
      <alignment horizontal="center" vertical="center" wrapText="1"/>
    </xf>
    <xf numFmtId="16" fontId="15" fillId="0" borderId="0" xfId="7" applyNumberFormat="1" applyFont="1" applyAlignment="1">
      <alignment horizontal="center"/>
    </xf>
    <xf numFmtId="0" fontId="14" fillId="0" borderId="0" xfId="7" applyFont="1" applyAlignment="1">
      <alignment horizontal="center" vertical="center"/>
    </xf>
    <xf numFmtId="0" fontId="16" fillId="0" borderId="55" xfId="0" applyFont="1" applyBorder="1" applyAlignment="1">
      <alignment wrapText="1"/>
    </xf>
    <xf numFmtId="0" fontId="5" fillId="0" borderId="55" xfId="0" applyFont="1" applyBorder="1" applyAlignment="1">
      <alignment horizontal="center" vertical="center"/>
    </xf>
    <xf numFmtId="164" fontId="5" fillId="0" borderId="55" xfId="1" applyFont="1" applyBorder="1" applyAlignment="1">
      <alignment horizontal="center" vertical="center"/>
    </xf>
    <xf numFmtId="164" fontId="5" fillId="0" borderId="55" xfId="1" applyFont="1" applyFill="1" applyBorder="1" applyAlignment="1">
      <alignment horizontal="center" vertical="center"/>
    </xf>
    <xf numFmtId="0" fontId="16" fillId="0" borderId="32" xfId="0" applyFont="1" applyBorder="1" applyAlignment="1">
      <alignment wrapText="1"/>
    </xf>
    <xf numFmtId="0" fontId="16" fillId="0" borderId="57" xfId="0" applyFont="1" applyBorder="1" applyAlignment="1">
      <alignment wrapText="1"/>
    </xf>
    <xf numFmtId="0" fontId="5" fillId="0" borderId="57" xfId="0" applyFont="1" applyBorder="1" applyAlignment="1">
      <alignment horizontal="center" vertical="center"/>
    </xf>
    <xf numFmtId="164" fontId="5" fillId="0" borderId="57" xfId="1" applyFont="1" applyBorder="1" applyAlignment="1">
      <alignment horizontal="center" vertical="center"/>
    </xf>
    <xf numFmtId="164" fontId="5" fillId="0" borderId="57" xfId="1" applyFont="1" applyFill="1" applyBorder="1" applyAlignment="1">
      <alignment horizontal="center" vertical="center"/>
    </xf>
    <xf numFmtId="164" fontId="5" fillId="0" borderId="58" xfId="1" applyFont="1" applyFill="1" applyBorder="1" applyAlignment="1">
      <alignment horizontal="center" vertical="center"/>
    </xf>
    <xf numFmtId="164" fontId="5" fillId="0" borderId="60" xfId="1" applyFont="1" applyFill="1" applyBorder="1" applyAlignment="1">
      <alignment horizontal="center" vertical="center"/>
    </xf>
    <xf numFmtId="0" fontId="16" fillId="0" borderId="62" xfId="0" applyFont="1" applyBorder="1" applyAlignment="1">
      <alignment wrapText="1"/>
    </xf>
    <xf numFmtId="0" fontId="5" fillId="0" borderId="62" xfId="0" applyFont="1" applyBorder="1" applyAlignment="1">
      <alignment horizontal="center" vertical="center"/>
    </xf>
    <xf numFmtId="164" fontId="5" fillId="0" borderId="62" xfId="1" applyFont="1" applyBorder="1" applyAlignment="1">
      <alignment horizontal="center" vertical="center"/>
    </xf>
    <xf numFmtId="164" fontId="5" fillId="0" borderId="62" xfId="1" applyFont="1" applyFill="1" applyBorder="1" applyAlignment="1">
      <alignment horizontal="center" vertical="center"/>
    </xf>
    <xf numFmtId="164" fontId="5" fillId="0" borderId="63" xfId="1" applyFont="1" applyFill="1" applyBorder="1" applyAlignment="1">
      <alignment horizontal="center" vertical="center"/>
    </xf>
    <xf numFmtId="0" fontId="14" fillId="2" borderId="0" xfId="6" applyFont="1" applyFill="1" applyAlignment="1">
      <alignment horizontal="center" vertical="center"/>
    </xf>
    <xf numFmtId="16" fontId="5" fillId="0" borderId="64" xfId="0" applyNumberFormat="1" applyFont="1" applyBorder="1" applyAlignment="1">
      <alignment horizontal="center" vertical="center"/>
    </xf>
    <xf numFmtId="0" fontId="5" fillId="0" borderId="65" xfId="0" applyFont="1" applyBorder="1" applyAlignment="1">
      <alignment wrapText="1"/>
    </xf>
    <xf numFmtId="0" fontId="5" fillId="0" borderId="65" xfId="0" applyFont="1" applyBorder="1" applyAlignment="1">
      <alignment horizontal="center" vertical="center"/>
    </xf>
    <xf numFmtId="164" fontId="5" fillId="0" borderId="65" xfId="1" applyFont="1" applyBorder="1" applyAlignment="1">
      <alignment horizontal="center" vertical="center"/>
    </xf>
    <xf numFmtId="164" fontId="5" fillId="0" borderId="66" xfId="1" applyFont="1" applyBorder="1" applyAlignment="1">
      <alignment horizontal="center" vertical="center"/>
    </xf>
    <xf numFmtId="0" fontId="5" fillId="0" borderId="54" xfId="0" applyFont="1" applyBorder="1" applyAlignment="1">
      <alignment wrapText="1"/>
    </xf>
    <xf numFmtId="0" fontId="5" fillId="0" borderId="54" xfId="0" applyFont="1" applyBorder="1" applyAlignment="1">
      <alignment horizontal="center" vertical="center"/>
    </xf>
    <xf numFmtId="164" fontId="5" fillId="0" borderId="67" xfId="1" applyFont="1" applyBorder="1" applyAlignment="1">
      <alignment horizontal="center" vertical="center"/>
    </xf>
    <xf numFmtId="0" fontId="21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3" borderId="10" xfId="0" applyFont="1" applyFill="1" applyBorder="1" applyAlignment="1">
      <alignment horizontal="center" wrapText="1"/>
    </xf>
    <xf numFmtId="0" fontId="22" fillId="3" borderId="0" xfId="0" applyFont="1" applyFill="1" applyAlignment="1">
      <alignment horizontal="right"/>
    </xf>
    <xf numFmtId="164" fontId="22" fillId="3" borderId="10" xfId="1" applyFont="1" applyFill="1" applyBorder="1" applyAlignment="1">
      <alignment horizontal="center"/>
    </xf>
    <xf numFmtId="0" fontId="19" fillId="3" borderId="0" xfId="0" applyFont="1" applyFill="1"/>
    <xf numFmtId="0" fontId="24" fillId="5" borderId="39" xfId="0" applyFont="1" applyFill="1" applyBorder="1" applyAlignment="1">
      <alignment horizontal="center" vertical="center"/>
    </xf>
    <xf numFmtId="0" fontId="24" fillId="5" borderId="40" xfId="0" applyFont="1" applyFill="1" applyBorder="1" applyAlignment="1">
      <alignment horizontal="center" vertical="center" wrapText="1"/>
    </xf>
    <xf numFmtId="0" fontId="24" fillId="5" borderId="40" xfId="0" applyFont="1" applyFill="1" applyBorder="1" applyAlignment="1">
      <alignment horizontal="center" vertical="center"/>
    </xf>
    <xf numFmtId="0" fontId="24" fillId="5" borderId="14" xfId="0" applyFont="1" applyFill="1" applyBorder="1" applyAlignment="1">
      <alignment horizontal="center" vertical="center"/>
    </xf>
    <xf numFmtId="0" fontId="19" fillId="0" borderId="41" xfId="0" applyFont="1" applyBorder="1" applyAlignment="1">
      <alignment wrapText="1"/>
    </xf>
    <xf numFmtId="0" fontId="19" fillId="0" borderId="41" xfId="0" applyFont="1" applyBorder="1" applyAlignment="1">
      <alignment horizontal="center" vertical="center"/>
    </xf>
    <xf numFmtId="164" fontId="19" fillId="0" borderId="41" xfId="1" applyFont="1" applyBorder="1" applyAlignment="1">
      <alignment horizontal="center" vertical="center"/>
    </xf>
    <xf numFmtId="164" fontId="19" fillId="0" borderId="42" xfId="1" applyFont="1" applyBorder="1" applyAlignment="1">
      <alignment horizontal="center" vertical="center"/>
    </xf>
    <xf numFmtId="16" fontId="19" fillId="0" borderId="22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wrapText="1"/>
    </xf>
    <xf numFmtId="0" fontId="19" fillId="0" borderId="19" xfId="0" applyFont="1" applyBorder="1" applyAlignment="1">
      <alignment horizontal="center" vertical="center"/>
    </xf>
    <xf numFmtId="164" fontId="19" fillId="0" borderId="19" xfId="1" applyFont="1" applyBorder="1" applyAlignment="1">
      <alignment horizontal="center" vertical="center"/>
    </xf>
    <xf numFmtId="164" fontId="19" fillId="0" borderId="20" xfId="1" applyFont="1" applyBorder="1" applyAlignment="1">
      <alignment horizontal="center" vertical="center"/>
    </xf>
    <xf numFmtId="0" fontId="19" fillId="0" borderId="29" xfId="0" applyFont="1" applyBorder="1" applyAlignment="1">
      <alignment wrapText="1"/>
    </xf>
    <xf numFmtId="0" fontId="19" fillId="0" borderId="2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64" fontId="19" fillId="0" borderId="16" xfId="1" applyFont="1" applyBorder="1" applyAlignment="1">
      <alignment horizontal="center" vertical="center"/>
    </xf>
    <xf numFmtId="164" fontId="19" fillId="0" borderId="17" xfId="1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164" fontId="19" fillId="0" borderId="27" xfId="1" applyFont="1" applyBorder="1" applyAlignment="1">
      <alignment horizontal="center" vertical="center"/>
    </xf>
    <xf numFmtId="164" fontId="19" fillId="0" borderId="28" xfId="1" applyFont="1" applyBorder="1" applyAlignment="1">
      <alignment horizontal="center" vertical="center"/>
    </xf>
    <xf numFmtId="16" fontId="19" fillId="0" borderId="23" xfId="0" applyNumberFormat="1" applyFont="1" applyBorder="1" applyAlignment="1">
      <alignment horizontal="center" vertical="center"/>
    </xf>
    <xf numFmtId="0" fontId="25" fillId="0" borderId="36" xfId="0" applyFont="1" applyBorder="1" applyAlignment="1">
      <alignment wrapText="1"/>
    </xf>
    <xf numFmtId="0" fontId="25" fillId="0" borderId="36" xfId="0" applyFont="1" applyBorder="1" applyAlignment="1">
      <alignment horizontal="center" vertical="center"/>
    </xf>
    <xf numFmtId="164" fontId="25" fillId="0" borderId="36" xfId="1" applyFont="1" applyBorder="1" applyAlignment="1">
      <alignment horizontal="center" vertical="center"/>
    </xf>
    <xf numFmtId="164" fontId="25" fillId="0" borderId="37" xfId="1" applyFont="1" applyBorder="1" applyAlignment="1">
      <alignment horizontal="center" vertical="center"/>
    </xf>
    <xf numFmtId="16" fontId="19" fillId="0" borderId="0" xfId="0" applyNumberFormat="1" applyFont="1" applyAlignment="1">
      <alignment vertical="center"/>
    </xf>
    <xf numFmtId="0" fontId="23" fillId="6" borderId="53" xfId="0" applyFont="1" applyFill="1" applyBorder="1" applyAlignment="1">
      <alignment wrapText="1"/>
    </xf>
    <xf numFmtId="0" fontId="23" fillId="2" borderId="0" xfId="0" applyFont="1" applyFill="1"/>
    <xf numFmtId="164" fontId="23" fillId="2" borderId="0" xfId="1" applyFont="1" applyFill="1"/>
    <xf numFmtId="164" fontId="23" fillId="6" borderId="22" xfId="1" applyFont="1" applyFill="1" applyBorder="1"/>
    <xf numFmtId="0" fontId="19" fillId="2" borderId="0" xfId="0" applyFont="1" applyFill="1" applyAlignment="1">
      <alignment horizontal="left" vertical="center"/>
    </xf>
    <xf numFmtId="0" fontId="23" fillId="4" borderId="12" xfId="0" applyFont="1" applyFill="1" applyBorder="1" applyAlignment="1">
      <alignment wrapText="1"/>
    </xf>
    <xf numFmtId="0" fontId="23" fillId="4" borderId="38" xfId="0" applyFont="1" applyFill="1" applyBorder="1"/>
    <xf numFmtId="164" fontId="23" fillId="4" borderId="38" xfId="1" applyFont="1" applyFill="1" applyBorder="1"/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wrapText="1"/>
    </xf>
    <xf numFmtId="16" fontId="19" fillId="0" borderId="18" xfId="0" applyNumberFormat="1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164" fontId="19" fillId="0" borderId="34" xfId="1" applyFont="1" applyBorder="1" applyAlignment="1">
      <alignment horizontal="center" vertical="center"/>
    </xf>
    <xf numFmtId="164" fontId="19" fillId="0" borderId="35" xfId="1" applyFont="1" applyBorder="1" applyAlignment="1">
      <alignment horizontal="center" vertical="center"/>
    </xf>
    <xf numFmtId="164" fontId="19" fillId="0" borderId="29" xfId="1" applyFont="1" applyBorder="1" applyAlignment="1">
      <alignment horizontal="center" vertical="center"/>
    </xf>
    <xf numFmtId="16" fontId="19" fillId="0" borderId="31" xfId="0" applyNumberFormat="1" applyFont="1" applyBorder="1" applyAlignment="1">
      <alignment horizontal="center" vertical="center"/>
    </xf>
    <xf numFmtId="164" fontId="19" fillId="0" borderId="54" xfId="1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164" fontId="19" fillId="0" borderId="36" xfId="1" applyFont="1" applyBorder="1" applyAlignment="1">
      <alignment horizontal="center" vertical="center"/>
    </xf>
    <xf numFmtId="164" fontId="19" fillId="0" borderId="37" xfId="1" applyFont="1" applyBorder="1" applyAlignment="1">
      <alignment horizontal="center" vertical="center"/>
    </xf>
    <xf numFmtId="0" fontId="23" fillId="6" borderId="21" xfId="0" applyFont="1" applyFill="1" applyBorder="1" applyAlignment="1">
      <alignment wrapText="1"/>
    </xf>
    <xf numFmtId="0" fontId="24" fillId="5" borderId="39" xfId="0" applyFont="1" applyFill="1" applyBorder="1" applyAlignment="1">
      <alignment horizontal="left" vertical="center"/>
    </xf>
    <xf numFmtId="0" fontId="19" fillId="0" borderId="41" xfId="0" applyFont="1" applyBorder="1" applyAlignment="1">
      <alignment horizontal="left" wrapText="1"/>
    </xf>
    <xf numFmtId="0" fontId="19" fillId="0" borderId="34" xfId="0" applyFont="1" applyBorder="1" applyAlignment="1">
      <alignment horizontal="left" wrapText="1"/>
    </xf>
    <xf numFmtId="164" fontId="23" fillId="6" borderId="23" xfId="1" applyFont="1" applyFill="1" applyBorder="1"/>
    <xf numFmtId="164" fontId="23" fillId="4" borderId="13" xfId="1" applyFont="1" applyFill="1" applyBorder="1"/>
    <xf numFmtId="0" fontId="24" fillId="5" borderId="23" xfId="0" applyFont="1" applyFill="1" applyBorder="1" applyAlignment="1">
      <alignment horizontal="center" vertical="center"/>
    </xf>
    <xf numFmtId="0" fontId="24" fillId="5" borderId="36" xfId="0" applyFont="1" applyFill="1" applyBorder="1" applyAlignment="1">
      <alignment horizontal="center" vertical="center" wrapText="1"/>
    </xf>
    <xf numFmtId="0" fontId="24" fillId="5" borderId="36" xfId="0" applyFont="1" applyFill="1" applyBorder="1" applyAlignment="1">
      <alignment horizontal="center" vertical="center"/>
    </xf>
    <xf numFmtId="0" fontId="24" fillId="5" borderId="37" xfId="0" applyFont="1" applyFill="1" applyBorder="1" applyAlignment="1">
      <alignment horizontal="center" vertical="center"/>
    </xf>
    <xf numFmtId="164" fontId="19" fillId="0" borderId="30" xfId="1" applyFont="1" applyBorder="1" applyAlignment="1">
      <alignment horizontal="center" vertical="center"/>
    </xf>
    <xf numFmtId="164" fontId="23" fillId="6" borderId="24" xfId="1" applyFont="1" applyFill="1" applyBorder="1"/>
    <xf numFmtId="0" fontId="23" fillId="0" borderId="0" xfId="0" applyFont="1"/>
    <xf numFmtId="164" fontId="23" fillId="0" borderId="0" xfId="1" applyFont="1"/>
    <xf numFmtId="164" fontId="23" fillId="5" borderId="21" xfId="1" applyFont="1" applyFill="1" applyBorder="1"/>
    <xf numFmtId="0" fontId="19" fillId="2" borderId="0" xfId="0" applyFont="1" applyFill="1" applyAlignment="1">
      <alignment wrapText="1"/>
    </xf>
    <xf numFmtId="0" fontId="19" fillId="2" borderId="0" xfId="0" applyFont="1" applyFill="1"/>
    <xf numFmtId="164" fontId="19" fillId="2" borderId="0" xfId="1" applyFont="1" applyFill="1"/>
    <xf numFmtId="0" fontId="23" fillId="4" borderId="12" xfId="0" applyFont="1" applyFill="1" applyBorder="1" applyAlignment="1">
      <alignment horizontal="left" vertical="center"/>
    </xf>
    <xf numFmtId="0" fontId="23" fillId="4" borderId="38" xfId="0" applyFont="1" applyFill="1" applyBorder="1" applyAlignment="1">
      <alignment wrapText="1"/>
    </xf>
    <xf numFmtId="0" fontId="23" fillId="4" borderId="38" xfId="0" applyFont="1" applyFill="1" applyBorder="1" applyAlignment="1">
      <alignment horizontal="right"/>
    </xf>
    <xf numFmtId="0" fontId="23" fillId="5" borderId="12" xfId="0" applyFont="1" applyFill="1" applyBorder="1" applyAlignment="1">
      <alignment horizontal="left" vertical="center"/>
    </xf>
    <xf numFmtId="0" fontId="23" fillId="5" borderId="38" xfId="0" applyFont="1" applyFill="1" applyBorder="1" applyAlignment="1">
      <alignment wrapText="1"/>
    </xf>
    <xf numFmtId="0" fontId="23" fillId="5" borderId="38" xfId="0" applyFont="1" applyFill="1" applyBorder="1"/>
    <xf numFmtId="164" fontId="23" fillId="5" borderId="38" xfId="1" applyFont="1" applyFill="1" applyBorder="1"/>
    <xf numFmtId="0" fontId="23" fillId="5" borderId="38" xfId="0" applyFont="1" applyFill="1" applyBorder="1" applyAlignment="1">
      <alignment horizontal="right"/>
    </xf>
    <xf numFmtId="0" fontId="27" fillId="0" borderId="0" xfId="5" applyFont="1" applyAlignment="1">
      <alignment vertical="center"/>
    </xf>
    <xf numFmtId="0" fontId="5" fillId="2" borderId="16" xfId="0" applyFont="1" applyFill="1" applyBorder="1" applyAlignment="1">
      <alignment wrapText="1"/>
    </xf>
    <xf numFmtId="164" fontId="5" fillId="2" borderId="16" xfId="1" applyFont="1" applyFill="1" applyBorder="1" applyAlignment="1">
      <alignment horizontal="center" vertical="center"/>
    </xf>
    <xf numFmtId="0" fontId="16" fillId="0" borderId="19" xfId="0" applyFont="1" applyBorder="1" applyAlignment="1">
      <alignment wrapText="1"/>
    </xf>
    <xf numFmtId="164" fontId="5" fillId="2" borderId="27" xfId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wrapText="1"/>
    </xf>
    <xf numFmtId="164" fontId="19" fillId="2" borderId="16" xfId="1" applyFont="1" applyFill="1" applyBorder="1" applyAlignment="1">
      <alignment horizontal="center" vertical="center"/>
    </xf>
    <xf numFmtId="164" fontId="11" fillId="0" borderId="41" xfId="1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164" fontId="5" fillId="0" borderId="70" xfId="1" applyFont="1" applyFill="1" applyBorder="1" applyAlignment="1">
      <alignment horizontal="center" vertical="center"/>
    </xf>
    <xf numFmtId="164" fontId="5" fillId="0" borderId="71" xfId="1" applyFont="1" applyFill="1" applyBorder="1" applyAlignment="1">
      <alignment horizontal="center" vertical="center"/>
    </xf>
    <xf numFmtId="164" fontId="5" fillId="0" borderId="72" xfId="1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164" fontId="5" fillId="0" borderId="72" xfId="1" applyFont="1" applyFill="1" applyBorder="1" applyAlignment="1">
      <alignment horizontal="center" vertical="center"/>
    </xf>
    <xf numFmtId="164" fontId="5" fillId="0" borderId="73" xfId="1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164" fontId="5" fillId="0" borderId="73" xfId="1" applyFont="1" applyFill="1" applyBorder="1" applyAlignment="1">
      <alignment horizontal="center" vertical="center"/>
    </xf>
    <xf numFmtId="0" fontId="16" fillId="0" borderId="29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27" xfId="0" applyFont="1" applyBorder="1" applyAlignment="1">
      <alignment wrapText="1"/>
    </xf>
    <xf numFmtId="0" fontId="28" fillId="0" borderId="41" xfId="0" applyFont="1" applyBorder="1" applyAlignment="1">
      <alignment wrapText="1"/>
    </xf>
    <xf numFmtId="0" fontId="28" fillId="0" borderId="36" xfId="0" applyFont="1" applyBorder="1" applyAlignment="1">
      <alignment wrapText="1"/>
    </xf>
    <xf numFmtId="16" fontId="5" fillId="0" borderId="39" xfId="0" applyNumberFormat="1" applyFont="1" applyBorder="1" applyAlignment="1">
      <alignment horizontal="center" vertical="center"/>
    </xf>
    <xf numFmtId="164" fontId="28" fillId="0" borderId="36" xfId="1" applyFont="1" applyBorder="1" applyAlignment="1">
      <alignment horizontal="center" vertical="center"/>
    </xf>
    <xf numFmtId="0" fontId="3" fillId="0" borderId="16" xfId="0" applyFont="1" applyBorder="1" applyAlignment="1">
      <alignment wrapText="1"/>
    </xf>
    <xf numFmtId="0" fontId="16" fillId="2" borderId="27" xfId="0" applyFont="1" applyFill="1" applyBorder="1" applyAlignment="1">
      <alignment wrapText="1"/>
    </xf>
    <xf numFmtId="0" fontId="19" fillId="2" borderId="27" xfId="0" applyFont="1" applyFill="1" applyBorder="1" applyAlignment="1">
      <alignment wrapText="1"/>
    </xf>
    <xf numFmtId="0" fontId="5" fillId="2" borderId="41" xfId="0" applyFont="1" applyFill="1" applyBorder="1" applyAlignment="1">
      <alignment wrapText="1"/>
    </xf>
    <xf numFmtId="16" fontId="5" fillId="0" borderId="74" xfId="0" applyNumberFormat="1" applyFont="1" applyBorder="1" applyAlignment="1">
      <alignment horizontal="center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27" xfId="0" applyFont="1" applyBorder="1" applyAlignment="1">
      <alignment vertical="center" wrapText="1"/>
    </xf>
    <xf numFmtId="164" fontId="25" fillId="0" borderId="41" xfId="1" applyFont="1" applyBorder="1" applyAlignment="1">
      <alignment horizontal="center" vertical="center"/>
    </xf>
    <xf numFmtId="0" fontId="16" fillId="2" borderId="16" xfId="0" applyFont="1" applyFill="1" applyBorder="1" applyAlignment="1">
      <alignment wrapText="1"/>
    </xf>
    <xf numFmtId="16" fontId="5" fillId="0" borderId="56" xfId="0" applyNumberFormat="1" applyFont="1" applyBorder="1" applyAlignment="1">
      <alignment horizontal="center" vertical="center" wrapText="1"/>
    </xf>
    <xf numFmtId="16" fontId="19" fillId="0" borderId="25" xfId="0" applyNumberFormat="1" applyFont="1" applyBorder="1" applyAlignment="1">
      <alignment horizontal="center" vertical="center"/>
    </xf>
    <xf numFmtId="164" fontId="28" fillId="0" borderId="41" xfId="1" applyFont="1" applyBorder="1" applyAlignment="1">
      <alignment horizontal="center" vertical="center"/>
    </xf>
    <xf numFmtId="0" fontId="16" fillId="2" borderId="70" xfId="0" applyFont="1" applyFill="1" applyBorder="1" applyAlignment="1">
      <alignment wrapText="1"/>
    </xf>
    <xf numFmtId="16" fontId="19" fillId="0" borderId="55" xfId="0" applyNumberFormat="1" applyFont="1" applyBorder="1" applyAlignment="1">
      <alignment horizontal="center" vertical="center" wrapText="1"/>
    </xf>
    <xf numFmtId="0" fontId="29" fillId="3" borderId="0" xfId="8" applyFont="1" applyFill="1" applyAlignment="1">
      <alignment vertical="center"/>
    </xf>
    <xf numFmtId="0" fontId="29" fillId="3" borderId="0" xfId="8" applyFont="1" applyFill="1"/>
    <xf numFmtId="0" fontId="29" fillId="2" borderId="0" xfId="8" applyFont="1" applyFill="1" applyAlignment="1">
      <alignment vertical="center"/>
    </xf>
    <xf numFmtId="0" fontId="29" fillId="3" borderId="0" xfId="8" applyFont="1" applyFill="1" applyAlignment="1">
      <alignment horizontal="center" vertical="center"/>
    </xf>
    <xf numFmtId="0" fontId="31" fillId="2" borderId="0" xfId="8" applyFont="1" applyFill="1" applyAlignment="1">
      <alignment vertical="center"/>
    </xf>
    <xf numFmtId="0" fontId="31" fillId="2" borderId="0" xfId="8" applyFont="1" applyFill="1" applyAlignment="1">
      <alignment horizontal="center" vertical="center"/>
    </xf>
    <xf numFmtId="0" fontId="31" fillId="3" borderId="0" xfId="8" applyFont="1" applyFill="1" applyAlignment="1">
      <alignment horizontal="center" vertical="center" wrapText="1"/>
    </xf>
    <xf numFmtId="2" fontId="31" fillId="3" borderId="0" xfId="8" applyNumberFormat="1" applyFont="1" applyFill="1" applyAlignment="1">
      <alignment horizontal="center" vertical="center"/>
    </xf>
    <xf numFmtId="0" fontId="31" fillId="10" borderId="38" xfId="8" applyFont="1" applyFill="1" applyBorder="1" applyAlignment="1">
      <alignment horizontal="center" vertical="center"/>
    </xf>
    <xf numFmtId="0" fontId="31" fillId="11" borderId="43" xfId="8" applyFont="1" applyFill="1" applyBorder="1" applyAlignment="1">
      <alignment horizontal="center" vertical="center" wrapText="1"/>
    </xf>
    <xf numFmtId="0" fontId="31" fillId="11" borderId="41" xfId="8" applyFont="1" applyFill="1" applyBorder="1" applyAlignment="1">
      <alignment horizontal="center" vertical="center" wrapText="1"/>
    </xf>
    <xf numFmtId="0" fontId="31" fillId="11" borderId="42" xfId="8" applyFont="1" applyFill="1" applyBorder="1" applyAlignment="1">
      <alignment horizontal="center" vertical="center" wrapText="1"/>
    </xf>
    <xf numFmtId="0" fontId="29" fillId="2" borderId="15" xfId="8" applyFont="1" applyFill="1" applyBorder="1" applyAlignment="1">
      <alignment horizontal="center" vertical="center" wrapText="1"/>
    </xf>
    <xf numFmtId="0" fontId="29" fillId="0" borderId="16" xfId="9" applyFont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left" vertical="center"/>
    </xf>
    <xf numFmtId="0" fontId="32" fillId="0" borderId="16" xfId="0" applyFont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/>
    </xf>
    <xf numFmtId="0" fontId="34" fillId="12" borderId="16" xfId="0" applyFont="1" applyFill="1" applyBorder="1" applyAlignment="1">
      <alignment horizontal="center" vertical="center"/>
    </xf>
    <xf numFmtId="14" fontId="31" fillId="7" borderId="16" xfId="8" applyNumberFormat="1" applyFont="1" applyFill="1" applyBorder="1" applyAlignment="1">
      <alignment horizontal="center" vertical="center"/>
    </xf>
    <xf numFmtId="0" fontId="29" fillId="12" borderId="16" xfId="8" applyFont="1" applyFill="1" applyBorder="1" applyAlignment="1">
      <alignment horizontal="center" vertical="center"/>
    </xf>
    <xf numFmtId="20" fontId="29" fillId="12" borderId="16" xfId="8" applyNumberFormat="1" applyFont="1" applyFill="1" applyBorder="1" applyAlignment="1">
      <alignment horizontal="center" vertical="center"/>
    </xf>
    <xf numFmtId="14" fontId="29" fillId="12" borderId="16" xfId="8" applyNumberFormat="1" applyFont="1" applyFill="1" applyBorder="1" applyAlignment="1">
      <alignment horizontal="center" vertical="center"/>
    </xf>
    <xf numFmtId="20" fontId="29" fillId="12" borderId="16" xfId="8" applyNumberFormat="1" applyFont="1" applyFill="1" applyBorder="1" applyAlignment="1">
      <alignment horizontal="center" vertical="center" wrapText="1"/>
    </xf>
    <xf numFmtId="14" fontId="29" fillId="12" borderId="16" xfId="8" applyNumberFormat="1" applyFont="1" applyFill="1" applyBorder="1" applyAlignment="1">
      <alignment horizontal="center" vertical="center" wrapText="1"/>
    </xf>
    <xf numFmtId="14" fontId="29" fillId="2" borderId="16" xfId="8" applyNumberFormat="1" applyFont="1" applyFill="1" applyBorder="1" applyAlignment="1">
      <alignment horizontal="center" vertical="center" wrapText="1"/>
    </xf>
    <xf numFmtId="20" fontId="29" fillId="2" borderId="16" xfId="8" applyNumberFormat="1" applyFont="1" applyFill="1" applyBorder="1" applyAlignment="1">
      <alignment horizontal="center" vertical="center" wrapText="1"/>
    </xf>
    <xf numFmtId="0" fontId="29" fillId="2" borderId="16" xfId="8" applyFont="1" applyFill="1" applyBorder="1" applyAlignment="1">
      <alignment horizontal="center" vertical="center"/>
    </xf>
    <xf numFmtId="20" fontId="29" fillId="2" borderId="16" xfId="8" applyNumberFormat="1" applyFont="1" applyFill="1" applyBorder="1" applyAlignment="1">
      <alignment horizontal="center" vertical="center"/>
    </xf>
    <xf numFmtId="20" fontId="29" fillId="3" borderId="16" xfId="8" applyNumberFormat="1" applyFont="1" applyFill="1" applyBorder="1" applyAlignment="1">
      <alignment horizontal="center" vertical="center"/>
    </xf>
    <xf numFmtId="165" fontId="29" fillId="0" borderId="16" xfId="10" applyFont="1" applyBorder="1" applyAlignment="1">
      <alignment horizontal="center" vertical="center" wrapText="1"/>
    </xf>
    <xf numFmtId="165" fontId="29" fillId="0" borderId="16" xfId="10" applyFont="1" applyBorder="1" applyAlignment="1">
      <alignment wrapText="1"/>
    </xf>
    <xf numFmtId="165" fontId="29" fillId="0" borderId="17" xfId="10" applyFont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/>
    </xf>
    <xf numFmtId="14" fontId="31" fillId="2" borderId="16" xfId="8" applyNumberFormat="1" applyFont="1" applyFill="1" applyBorder="1" applyAlignment="1">
      <alignment horizontal="center" vertical="center" wrapText="1"/>
    </xf>
    <xf numFmtId="0" fontId="29" fillId="2" borderId="16" xfId="8" applyFont="1" applyFill="1" applyBorder="1" applyAlignment="1">
      <alignment horizontal="center" vertical="center" wrapText="1"/>
    </xf>
    <xf numFmtId="165" fontId="29" fillId="0" borderId="16" xfId="10" applyFont="1" applyBorder="1" applyAlignment="1">
      <alignment horizontal="center" wrapText="1"/>
    </xf>
    <xf numFmtId="1" fontId="29" fillId="0" borderId="16" xfId="9" applyNumberFormat="1" applyFont="1" applyBorder="1" applyAlignment="1">
      <alignment horizontal="center" wrapText="1"/>
    </xf>
    <xf numFmtId="0" fontId="35" fillId="2" borderId="16" xfId="0" applyFont="1" applyFill="1" applyBorder="1" applyAlignment="1">
      <alignment horizontal="center" vertical="center"/>
    </xf>
    <xf numFmtId="0" fontId="29" fillId="12" borderId="16" xfId="0" applyFont="1" applyFill="1" applyBorder="1" applyAlignment="1">
      <alignment horizontal="center" vertical="center"/>
    </xf>
    <xf numFmtId="165" fontId="29" fillId="0" borderId="16" xfId="10" applyFont="1" applyBorder="1" applyAlignment="1">
      <alignment horizontal="center" vertical="center"/>
    </xf>
    <xf numFmtId="165" fontId="29" fillId="2" borderId="16" xfId="10" applyFont="1" applyFill="1" applyBorder="1" applyAlignment="1">
      <alignment horizontal="center" vertical="center" wrapText="1"/>
    </xf>
    <xf numFmtId="1" fontId="29" fillId="0" borderId="16" xfId="9" applyNumberFormat="1" applyFont="1" applyBorder="1" applyAlignment="1">
      <alignment horizontal="center" vertical="center" wrapText="1"/>
    </xf>
    <xf numFmtId="14" fontId="31" fillId="7" borderId="16" xfId="8" applyNumberFormat="1" applyFont="1" applyFill="1" applyBorder="1" applyAlignment="1">
      <alignment horizontal="center" vertical="center" wrapText="1"/>
    </xf>
    <xf numFmtId="0" fontId="29" fillId="12" borderId="16" xfId="8" applyFont="1" applyFill="1" applyBorder="1" applyAlignment="1">
      <alignment horizontal="center" vertical="center" wrapText="1"/>
    </xf>
    <xf numFmtId="0" fontId="29" fillId="2" borderId="18" xfId="8" applyFont="1" applyFill="1" applyBorder="1" applyAlignment="1">
      <alignment horizontal="center" vertical="center" wrapText="1"/>
    </xf>
    <xf numFmtId="0" fontId="29" fillId="0" borderId="19" xfId="9" applyFont="1" applyBorder="1" applyAlignment="1">
      <alignment horizontal="center" vertical="center" wrapText="1"/>
    </xf>
    <xf numFmtId="0" fontId="32" fillId="2" borderId="19" xfId="0" applyFont="1" applyFill="1" applyBorder="1" applyAlignment="1">
      <alignment horizontal="left" vertical="center"/>
    </xf>
    <xf numFmtId="0" fontId="32" fillId="2" borderId="19" xfId="0" applyFont="1" applyFill="1" applyBorder="1" applyAlignment="1">
      <alignment horizontal="center" vertical="center"/>
    </xf>
    <xf numFmtId="0" fontId="33" fillId="2" borderId="19" xfId="0" applyFont="1" applyFill="1" applyBorder="1" applyAlignment="1">
      <alignment horizontal="center" vertical="center"/>
    </xf>
    <xf numFmtId="14" fontId="29" fillId="12" borderId="19" xfId="8" applyNumberFormat="1" applyFont="1" applyFill="1" applyBorder="1" applyAlignment="1">
      <alignment horizontal="center" vertical="center"/>
    </xf>
    <xf numFmtId="14" fontId="29" fillId="12" borderId="19" xfId="8" applyNumberFormat="1" applyFont="1" applyFill="1" applyBorder="1" applyAlignment="1">
      <alignment horizontal="center" vertical="center" wrapText="1"/>
    </xf>
    <xf numFmtId="20" fontId="29" fillId="12" borderId="19" xfId="8" applyNumberFormat="1" applyFont="1" applyFill="1" applyBorder="1" applyAlignment="1">
      <alignment horizontal="center" vertical="center"/>
    </xf>
    <xf numFmtId="14" fontId="31" fillId="7" borderId="19" xfId="8" applyNumberFormat="1" applyFont="1" applyFill="1" applyBorder="1" applyAlignment="1">
      <alignment horizontal="center" vertical="center"/>
    </xf>
    <xf numFmtId="20" fontId="29" fillId="12" borderId="19" xfId="8" applyNumberFormat="1" applyFont="1" applyFill="1" applyBorder="1" applyAlignment="1">
      <alignment horizontal="center" vertical="center" wrapText="1"/>
    </xf>
    <xf numFmtId="14" fontId="29" fillId="2" borderId="19" xfId="8" applyNumberFormat="1" applyFont="1" applyFill="1" applyBorder="1" applyAlignment="1">
      <alignment horizontal="center" vertical="center" wrapText="1"/>
    </xf>
    <xf numFmtId="20" fontId="29" fillId="2" borderId="19" xfId="8" applyNumberFormat="1" applyFont="1" applyFill="1" applyBorder="1" applyAlignment="1">
      <alignment horizontal="center" vertical="center" wrapText="1"/>
    </xf>
    <xf numFmtId="0" fontId="29" fillId="2" borderId="19" xfId="8" applyFont="1" applyFill="1" applyBorder="1" applyAlignment="1">
      <alignment horizontal="center" vertical="center" wrapText="1"/>
    </xf>
    <xf numFmtId="14" fontId="31" fillId="2" borderId="19" xfId="8" applyNumberFormat="1" applyFont="1" applyFill="1" applyBorder="1" applyAlignment="1">
      <alignment horizontal="center" vertical="center" wrapText="1"/>
    </xf>
    <xf numFmtId="165" fontId="29" fillId="0" borderId="19" xfId="10" applyFont="1" applyBorder="1" applyAlignment="1">
      <alignment horizontal="center" vertical="center"/>
    </xf>
    <xf numFmtId="165" fontId="29" fillId="0" borderId="19" xfId="10" applyFont="1" applyBorder="1" applyAlignment="1">
      <alignment horizontal="center" wrapText="1"/>
    </xf>
    <xf numFmtId="1" fontId="29" fillId="0" borderId="19" xfId="9" applyNumberFormat="1" applyFont="1" applyBorder="1" applyAlignment="1">
      <alignment horizontal="center" wrapText="1"/>
    </xf>
    <xf numFmtId="165" fontId="29" fillId="0" borderId="19" xfId="10" applyFont="1" applyBorder="1" applyAlignment="1">
      <alignment horizontal="center" vertical="center" wrapText="1"/>
    </xf>
    <xf numFmtId="165" fontId="29" fillId="0" borderId="20" xfId="10" applyFont="1" applyBorder="1" applyAlignment="1">
      <alignment horizontal="center" vertical="center" wrapText="1"/>
    </xf>
    <xf numFmtId="164" fontId="31" fillId="11" borderId="21" xfId="8" applyNumberFormat="1" applyFont="1" applyFill="1" applyBorder="1" applyAlignment="1">
      <alignment horizontal="center" vertical="center"/>
    </xf>
    <xf numFmtId="0" fontId="29" fillId="2" borderId="0" xfId="8" applyFont="1" applyFill="1" applyAlignment="1">
      <alignment horizontal="center" vertical="center"/>
    </xf>
    <xf numFmtId="164" fontId="31" fillId="2" borderId="0" xfId="8" applyNumberFormat="1" applyFont="1" applyFill="1" applyAlignment="1">
      <alignment horizontal="center" vertical="center"/>
    </xf>
    <xf numFmtId="0" fontId="31" fillId="11" borderId="81" xfId="8" applyFont="1" applyFill="1" applyBorder="1" applyAlignment="1">
      <alignment horizontal="center" vertical="center" wrapText="1"/>
    </xf>
    <xf numFmtId="0" fontId="31" fillId="11" borderId="82" xfId="8" applyFont="1" applyFill="1" applyBorder="1" applyAlignment="1">
      <alignment horizontal="center" vertical="center" wrapText="1"/>
    </xf>
    <xf numFmtId="0" fontId="31" fillId="11" borderId="83" xfId="8" applyFont="1" applyFill="1" applyBorder="1" applyAlignment="1">
      <alignment horizontal="center" vertical="center" wrapText="1"/>
    </xf>
    <xf numFmtId="0" fontId="31" fillId="11" borderId="84" xfId="8" applyFont="1" applyFill="1" applyBorder="1" applyAlignment="1">
      <alignment horizontal="center" vertical="center" wrapText="1"/>
    </xf>
    <xf numFmtId="0" fontId="31" fillId="11" borderId="85" xfId="8" applyFont="1" applyFill="1" applyBorder="1" applyAlignment="1">
      <alignment horizontal="center" vertical="center" wrapText="1"/>
    </xf>
    <xf numFmtId="0" fontId="31" fillId="11" borderId="86" xfId="8" applyFont="1" applyFill="1" applyBorder="1" applyAlignment="1">
      <alignment horizontal="center" vertical="center" wrapText="1"/>
    </xf>
    <xf numFmtId="0" fontId="31" fillId="11" borderId="87" xfId="8" applyFont="1" applyFill="1" applyBorder="1" applyAlignment="1">
      <alignment horizontal="center" vertical="center" wrapText="1"/>
    </xf>
    <xf numFmtId="0" fontId="29" fillId="0" borderId="43" xfId="8" applyFont="1" applyBorder="1" applyAlignment="1">
      <alignment horizontal="center" vertical="center" wrapText="1"/>
    </xf>
    <xf numFmtId="0" fontId="29" fillId="0" borderId="41" xfId="9" applyFont="1" applyBorder="1" applyAlignment="1">
      <alignment horizontal="center" vertical="center" wrapText="1"/>
    </xf>
    <xf numFmtId="0" fontId="32" fillId="2" borderId="41" xfId="0" applyFont="1" applyFill="1" applyBorder="1" applyAlignment="1">
      <alignment horizontal="left" vertical="center"/>
    </xf>
    <xf numFmtId="0" fontId="32" fillId="2" borderId="41" xfId="0" applyFont="1" applyFill="1" applyBorder="1" applyAlignment="1">
      <alignment horizontal="center" vertical="center"/>
    </xf>
    <xf numFmtId="0" fontId="33" fillId="2" borderId="41" xfId="0" applyFont="1" applyFill="1" applyBorder="1" applyAlignment="1">
      <alignment horizontal="center" vertical="center"/>
    </xf>
    <xf numFmtId="0" fontId="33" fillId="12" borderId="41" xfId="0" applyFont="1" applyFill="1" applyBorder="1" applyAlignment="1">
      <alignment horizontal="center" vertical="center"/>
    </xf>
    <xf numFmtId="14" fontId="29" fillId="12" borderId="41" xfId="8" applyNumberFormat="1" applyFont="1" applyFill="1" applyBorder="1" applyAlignment="1">
      <alignment horizontal="center" vertical="center" wrapText="1"/>
    </xf>
    <xf numFmtId="20" fontId="29" fillId="12" borderId="41" xfId="8" applyNumberFormat="1" applyFont="1" applyFill="1" applyBorder="1" applyAlignment="1">
      <alignment horizontal="center" vertical="center" wrapText="1"/>
    </xf>
    <xf numFmtId="20" fontId="29" fillId="2" borderId="41" xfId="8" applyNumberFormat="1" applyFont="1" applyFill="1" applyBorder="1" applyAlignment="1">
      <alignment horizontal="center" vertical="center" wrapText="1"/>
    </xf>
    <xf numFmtId="14" fontId="29" fillId="2" borderId="41" xfId="8" applyNumberFormat="1" applyFont="1" applyFill="1" applyBorder="1" applyAlignment="1">
      <alignment horizontal="center" vertical="center"/>
    </xf>
    <xf numFmtId="0" fontId="29" fillId="2" borderId="41" xfId="8" applyFont="1" applyFill="1" applyBorder="1" applyAlignment="1">
      <alignment horizontal="center" vertical="center" wrapText="1"/>
    </xf>
    <xf numFmtId="165" fontId="29" fillId="0" borderId="41" xfId="10" applyFont="1" applyBorder="1" applyAlignment="1">
      <alignment horizontal="center" vertical="center" wrapText="1"/>
    </xf>
    <xf numFmtId="165" fontId="29" fillId="0" borderId="41" xfId="10" applyFont="1" applyBorder="1" applyAlignment="1">
      <alignment horizontal="center" wrapText="1"/>
    </xf>
    <xf numFmtId="1" fontId="29" fillId="0" borderId="41" xfId="9" applyNumberFormat="1" applyFont="1" applyBorder="1" applyAlignment="1">
      <alignment horizontal="center" wrapText="1"/>
    </xf>
    <xf numFmtId="165" fontId="29" fillId="0" borderId="41" xfId="10" applyFont="1" applyBorder="1"/>
    <xf numFmtId="165" fontId="29" fillId="0" borderId="16" xfId="10" applyFont="1" applyBorder="1"/>
    <xf numFmtId="165" fontId="29" fillId="0" borderId="41" xfId="10" applyFont="1" applyBorder="1" applyAlignment="1">
      <alignment wrapText="1"/>
    </xf>
    <xf numFmtId="0" fontId="29" fillId="0" borderId="18" xfId="8" applyFont="1" applyBorder="1" applyAlignment="1">
      <alignment horizontal="center" vertical="center" wrapText="1"/>
    </xf>
    <xf numFmtId="0" fontId="32" fillId="12" borderId="19" xfId="0" applyFont="1" applyFill="1" applyBorder="1" applyAlignment="1">
      <alignment horizontal="center" vertical="center"/>
    </xf>
    <xf numFmtId="0" fontId="29" fillId="12" borderId="19" xfId="8" applyFont="1" applyFill="1" applyBorder="1" applyAlignment="1">
      <alignment horizontal="center" vertical="center" wrapText="1"/>
    </xf>
    <xf numFmtId="14" fontId="29" fillId="2" borderId="19" xfId="8" applyNumberFormat="1" applyFont="1" applyFill="1" applyBorder="1" applyAlignment="1">
      <alignment horizontal="center" vertical="center"/>
    </xf>
    <xf numFmtId="165" fontId="29" fillId="0" borderId="19" xfId="10" applyFont="1" applyBorder="1"/>
    <xf numFmtId="165" fontId="29" fillId="0" borderId="19" xfId="10" applyFont="1" applyBorder="1" applyAlignment="1">
      <alignment wrapText="1"/>
    </xf>
    <xf numFmtId="0" fontId="31" fillId="11" borderId="88" xfId="8" applyFont="1" applyFill="1" applyBorder="1" applyAlignment="1">
      <alignment horizontal="center" vertical="center" wrapText="1"/>
    </xf>
    <xf numFmtId="0" fontId="29" fillId="0" borderId="16" xfId="8" applyFont="1" applyBorder="1" applyAlignment="1">
      <alignment horizontal="center" vertical="center" wrapText="1"/>
    </xf>
    <xf numFmtId="0" fontId="29" fillId="0" borderId="89" xfId="9" applyFont="1" applyBorder="1" applyAlignment="1">
      <alignment horizontal="center" vertical="center" wrapText="1"/>
    </xf>
    <xf numFmtId="0" fontId="32" fillId="2" borderId="40" xfId="0" applyFont="1" applyFill="1" applyBorder="1" applyAlignment="1">
      <alignment horizontal="left" vertical="center"/>
    </xf>
    <xf numFmtId="0" fontId="32" fillId="0" borderId="40" xfId="0" applyFont="1" applyBorder="1" applyAlignment="1">
      <alignment horizontal="center" vertical="center"/>
    </xf>
    <xf numFmtId="0" fontId="33" fillId="2" borderId="40" xfId="0" applyFont="1" applyFill="1" applyBorder="1" applyAlignment="1">
      <alignment horizontal="center" vertical="center"/>
    </xf>
    <xf numFmtId="0" fontId="33" fillId="12" borderId="32" xfId="0" applyFont="1" applyFill="1" applyBorder="1" applyAlignment="1">
      <alignment horizontal="center" vertical="center"/>
    </xf>
    <xf numFmtId="14" fontId="29" fillId="12" borderId="29" xfId="8" applyNumberFormat="1" applyFont="1" applyFill="1" applyBorder="1" applyAlignment="1">
      <alignment horizontal="center" vertical="center" wrapText="1"/>
    </xf>
    <xf numFmtId="14" fontId="29" fillId="2" borderId="29" xfId="8" applyNumberFormat="1" applyFont="1" applyFill="1" applyBorder="1" applyAlignment="1">
      <alignment horizontal="center" vertical="center" wrapText="1"/>
    </xf>
    <xf numFmtId="0" fontId="29" fillId="2" borderId="29" xfId="8" applyFont="1" applyFill="1" applyBorder="1" applyAlignment="1">
      <alignment horizontal="center" vertical="center" wrapText="1"/>
    </xf>
    <xf numFmtId="20" fontId="29" fillId="2" borderId="29" xfId="8" applyNumberFormat="1" applyFont="1" applyFill="1" applyBorder="1" applyAlignment="1">
      <alignment horizontal="center" vertical="center" wrapText="1"/>
    </xf>
    <xf numFmtId="0" fontId="29" fillId="3" borderId="29" xfId="8" applyFont="1" applyFill="1" applyBorder="1"/>
    <xf numFmtId="0" fontId="29" fillId="3" borderId="32" xfId="8" applyFont="1" applyFill="1" applyBorder="1"/>
    <xf numFmtId="165" fontId="29" fillId="0" borderId="40" xfId="10" applyFont="1" applyBorder="1" applyAlignment="1">
      <alignment wrapText="1"/>
    </xf>
    <xf numFmtId="165" fontId="29" fillId="0" borderId="17" xfId="10" applyFont="1" applyBorder="1" applyAlignment="1">
      <alignment wrapText="1"/>
    </xf>
    <xf numFmtId="0" fontId="29" fillId="0" borderId="71" xfId="9" applyFont="1" applyBorder="1" applyAlignment="1">
      <alignment horizontal="center" vertical="center" wrapText="1"/>
    </xf>
    <xf numFmtId="0" fontId="33" fillId="12" borderId="16" xfId="0" applyFont="1" applyFill="1" applyBorder="1" applyAlignment="1">
      <alignment horizontal="center" vertical="center"/>
    </xf>
    <xf numFmtId="0" fontId="29" fillId="12" borderId="16" xfId="8" applyFont="1" applyFill="1" applyBorder="1"/>
    <xf numFmtId="0" fontId="29" fillId="2" borderId="16" xfId="8" applyFont="1" applyFill="1" applyBorder="1"/>
    <xf numFmtId="165" fontId="29" fillId="2" borderId="16" xfId="10" applyFont="1" applyFill="1" applyBorder="1" applyAlignment="1">
      <alignment wrapText="1"/>
    </xf>
    <xf numFmtId="0" fontId="31" fillId="3" borderId="0" xfId="8" applyFont="1" applyFill="1" applyAlignment="1">
      <alignment vertical="center"/>
    </xf>
    <xf numFmtId="165" fontId="29" fillId="3" borderId="0" xfId="8" applyNumberFormat="1" applyFont="1" applyFill="1" applyAlignment="1">
      <alignment vertical="center"/>
    </xf>
    <xf numFmtId="164" fontId="29" fillId="3" borderId="0" xfId="8" applyNumberFormat="1" applyFont="1" applyFill="1" applyAlignment="1">
      <alignment vertical="center"/>
    </xf>
    <xf numFmtId="164" fontId="36" fillId="3" borderId="0" xfId="8" applyNumberFormat="1" applyFont="1" applyFill="1" applyAlignment="1">
      <alignment vertical="center"/>
    </xf>
    <xf numFmtId="0" fontId="36" fillId="3" borderId="0" xfId="8" applyFont="1" applyFill="1" applyAlignment="1">
      <alignment vertical="center"/>
    </xf>
    <xf numFmtId="0" fontId="29" fillId="0" borderId="15" xfId="8" applyFont="1" applyBorder="1" applyAlignment="1">
      <alignment horizontal="center" vertical="center" wrapText="1"/>
    </xf>
    <xf numFmtId="164" fontId="31" fillId="11" borderId="44" xfId="8" applyNumberFormat="1" applyFont="1" applyFill="1" applyBorder="1" applyAlignment="1">
      <alignment horizontal="center" vertical="center"/>
    </xf>
    <xf numFmtId="0" fontId="11" fillId="0" borderId="40" xfId="0" applyFont="1" applyBorder="1" applyAlignment="1">
      <alignment wrapText="1"/>
    </xf>
    <xf numFmtId="0" fontId="11" fillId="0" borderId="40" xfId="0" applyFont="1" applyBorder="1" applyAlignment="1">
      <alignment horizontal="center" vertical="center"/>
    </xf>
    <xf numFmtId="164" fontId="11" fillId="0" borderId="40" xfId="1" applyFont="1" applyBorder="1" applyAlignment="1">
      <alignment horizontal="center" vertical="center"/>
    </xf>
    <xf numFmtId="16" fontId="19" fillId="0" borderId="90" xfId="0" applyNumberFormat="1" applyFont="1" applyBorder="1" applyAlignment="1">
      <alignment horizontal="center" vertical="center"/>
    </xf>
    <xf numFmtId="0" fontId="5" fillId="0" borderId="77" xfId="0" applyFont="1" applyBorder="1" applyAlignment="1">
      <alignment wrapText="1"/>
    </xf>
    <xf numFmtId="0" fontId="5" fillId="0" borderId="78" xfId="0" applyFont="1" applyBorder="1" applyAlignment="1">
      <alignment horizontal="center" vertical="center"/>
    </xf>
    <xf numFmtId="164" fontId="5" fillId="0" borderId="78" xfId="1" applyFont="1" applyBorder="1" applyAlignment="1">
      <alignment horizontal="center" vertical="center"/>
    </xf>
    <xf numFmtId="0" fontId="33" fillId="12" borderId="19" xfId="0" applyFont="1" applyFill="1" applyBorder="1" applyAlignment="1">
      <alignment horizontal="center" vertical="center"/>
    </xf>
    <xf numFmtId="0" fontId="29" fillId="3" borderId="16" xfId="8" applyFont="1" applyFill="1" applyBorder="1" applyAlignment="1">
      <alignment horizontal="center" vertical="center"/>
    </xf>
    <xf numFmtId="0" fontId="31" fillId="2" borderId="16" xfId="0" applyFont="1" applyFill="1" applyBorder="1" applyAlignment="1">
      <alignment horizontal="center" vertical="center"/>
    </xf>
    <xf numFmtId="0" fontId="31" fillId="12" borderId="16" xfId="0" applyFont="1" applyFill="1" applyBorder="1" applyAlignment="1">
      <alignment horizontal="center" vertical="center"/>
    </xf>
    <xf numFmtId="14" fontId="31" fillId="12" borderId="16" xfId="8" applyNumberFormat="1" applyFont="1" applyFill="1" applyBorder="1" applyAlignment="1">
      <alignment horizontal="center" vertical="center"/>
    </xf>
    <xf numFmtId="20" fontId="29" fillId="0" borderId="16" xfId="10" applyNumberFormat="1" applyFont="1" applyBorder="1" applyAlignment="1">
      <alignment horizontal="center" vertical="center" wrapText="1"/>
    </xf>
    <xf numFmtId="20" fontId="31" fillId="7" borderId="16" xfId="8" applyNumberFormat="1" applyFont="1" applyFill="1" applyBorder="1" applyAlignment="1">
      <alignment horizontal="center" vertical="center" wrapText="1"/>
    </xf>
    <xf numFmtId="14" fontId="31" fillId="7" borderId="19" xfId="8" applyNumberFormat="1" applyFont="1" applyFill="1" applyBorder="1" applyAlignment="1">
      <alignment horizontal="center" vertical="center" wrapText="1"/>
    </xf>
    <xf numFmtId="16" fontId="5" fillId="0" borderId="0" xfId="0" applyNumberFormat="1" applyFont="1" applyAlignment="1">
      <alignment horizontal="center" vertical="center"/>
    </xf>
    <xf numFmtId="0" fontId="5" fillId="0" borderId="26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16" fontId="19" fillId="0" borderId="0" xfId="0" applyNumberFormat="1" applyFont="1" applyAlignment="1">
      <alignment horizontal="center" vertical="center"/>
    </xf>
    <xf numFmtId="0" fontId="19" fillId="0" borderId="65" xfId="0" applyFont="1" applyBorder="1" applyAlignment="1">
      <alignment wrapText="1"/>
    </xf>
    <xf numFmtId="0" fontId="19" fillId="0" borderId="65" xfId="0" applyFont="1" applyBorder="1" applyAlignment="1">
      <alignment horizontal="center" vertical="center"/>
    </xf>
    <xf numFmtId="164" fontId="19" fillId="0" borderId="65" xfId="1" applyFont="1" applyBorder="1" applyAlignment="1">
      <alignment horizontal="center" vertical="center"/>
    </xf>
    <xf numFmtId="0" fontId="19" fillId="0" borderId="16" xfId="0" applyFont="1" applyBorder="1" applyAlignment="1">
      <alignment vertical="center" wrapText="1"/>
    </xf>
    <xf numFmtId="164" fontId="19" fillId="0" borderId="16" xfId="0" applyNumberFormat="1" applyFont="1" applyBorder="1" applyAlignment="1">
      <alignment horizontal="center" vertical="center"/>
    </xf>
    <xf numFmtId="16" fontId="5" fillId="0" borderId="39" xfId="0" applyNumberFormat="1" applyFont="1" applyBorder="1" applyAlignment="1">
      <alignment horizontal="center" vertical="center"/>
    </xf>
    <xf numFmtId="16" fontId="5" fillId="0" borderId="25" xfId="0" applyNumberFormat="1" applyFont="1" applyBorder="1" applyAlignment="1">
      <alignment horizontal="center" vertical="center"/>
    </xf>
    <xf numFmtId="16" fontId="5" fillId="0" borderId="22" xfId="0" applyNumberFormat="1" applyFont="1" applyBorder="1" applyAlignment="1">
      <alignment horizontal="center" vertical="center"/>
    </xf>
    <xf numFmtId="0" fontId="8" fillId="2" borderId="26" xfId="0" applyFont="1" applyFill="1" applyBorder="1" applyAlignment="1">
      <alignment horizontal="right"/>
    </xf>
    <xf numFmtId="0" fontId="6" fillId="4" borderId="12" xfId="0" applyFont="1" applyFill="1" applyBorder="1" applyAlignment="1">
      <alignment horizontal="left" wrapText="1"/>
    </xf>
    <xf numFmtId="0" fontId="6" fillId="4" borderId="13" xfId="0" applyFont="1" applyFill="1" applyBorder="1" applyAlignment="1">
      <alignment horizontal="left" wrapText="1"/>
    </xf>
    <xf numFmtId="16" fontId="5" fillId="0" borderId="39" xfId="0" applyNumberFormat="1" applyFont="1" applyBorder="1" applyAlignment="1">
      <alignment horizontal="center" vertical="center" wrapText="1"/>
    </xf>
    <xf numFmtId="16" fontId="5" fillId="0" borderId="43" xfId="0" applyNumberFormat="1" applyFont="1" applyBorder="1" applyAlignment="1">
      <alignment horizontal="center" vertical="center"/>
    </xf>
    <xf numFmtId="16" fontId="5" fillId="0" borderId="15" xfId="0" applyNumberFormat="1" applyFont="1" applyBorder="1" applyAlignment="1">
      <alignment horizontal="center" vertical="center"/>
    </xf>
    <xf numFmtId="16" fontId="5" fillId="0" borderId="18" xfId="0" applyNumberFormat="1" applyFont="1" applyBorder="1" applyAlignment="1">
      <alignment horizontal="center" vertical="center"/>
    </xf>
    <xf numFmtId="16" fontId="5" fillId="0" borderId="3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3" fillId="3" borderId="10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21" fillId="3" borderId="9" xfId="0" applyFont="1" applyFill="1" applyBorder="1" applyAlignment="1">
      <alignment horizontal="center" vertical="center"/>
    </xf>
    <xf numFmtId="16" fontId="5" fillId="0" borderId="43" xfId="0" applyNumberFormat="1" applyFont="1" applyBorder="1" applyAlignment="1">
      <alignment horizontal="center" vertical="center" wrapText="1"/>
    </xf>
    <xf numFmtId="16" fontId="5" fillId="0" borderId="56" xfId="0" applyNumberFormat="1" applyFont="1" applyBorder="1" applyAlignment="1">
      <alignment horizontal="center" vertical="center" wrapText="1"/>
    </xf>
    <xf numFmtId="16" fontId="5" fillId="0" borderId="59" xfId="0" applyNumberFormat="1" applyFont="1" applyBorder="1" applyAlignment="1">
      <alignment horizontal="center" vertical="center"/>
    </xf>
    <xf numFmtId="16" fontId="5" fillId="0" borderId="61" xfId="0" applyNumberFormat="1" applyFont="1" applyBorder="1" applyAlignment="1">
      <alignment horizontal="center" vertical="center"/>
    </xf>
    <xf numFmtId="16" fontId="5" fillId="0" borderId="75" xfId="0" applyNumberFormat="1" applyFont="1" applyBorder="1" applyAlignment="1">
      <alignment horizontal="center" vertical="center" wrapText="1"/>
    </xf>
    <xf numFmtId="16" fontId="19" fillId="0" borderId="39" xfId="0" applyNumberFormat="1" applyFont="1" applyBorder="1" applyAlignment="1">
      <alignment horizontal="center" vertical="center"/>
    </xf>
    <xf numFmtId="16" fontId="19" fillId="0" borderId="25" xfId="0" applyNumberFormat="1" applyFont="1" applyBorder="1" applyAlignment="1">
      <alignment horizontal="center" vertical="center"/>
    </xf>
    <xf numFmtId="16" fontId="19" fillId="0" borderId="22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166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/>
    </xf>
    <xf numFmtId="0" fontId="22" fillId="3" borderId="10" xfId="0" applyFont="1" applyFill="1" applyBorder="1" applyAlignment="1">
      <alignment wrapText="1"/>
    </xf>
    <xf numFmtId="0" fontId="23" fillId="4" borderId="12" xfId="0" applyFont="1" applyFill="1" applyBorder="1" applyAlignment="1">
      <alignment horizontal="left" wrapText="1"/>
    </xf>
    <xf numFmtId="0" fontId="23" fillId="4" borderId="13" xfId="0" applyFont="1" applyFill="1" applyBorder="1" applyAlignment="1">
      <alignment horizontal="left" wrapText="1"/>
    </xf>
    <xf numFmtId="16" fontId="19" fillId="0" borderId="43" xfId="0" applyNumberFormat="1" applyFont="1" applyBorder="1" applyAlignment="1">
      <alignment horizontal="center" vertical="center"/>
    </xf>
    <xf numFmtId="16" fontId="19" fillId="0" borderId="18" xfId="0" applyNumberFormat="1" applyFont="1" applyBorder="1" applyAlignment="1">
      <alignment horizontal="center" vertical="center"/>
    </xf>
    <xf numFmtId="16" fontId="19" fillId="0" borderId="15" xfId="0" applyNumberFormat="1" applyFont="1" applyBorder="1" applyAlignment="1">
      <alignment horizontal="center" vertical="center"/>
    </xf>
    <xf numFmtId="16" fontId="19" fillId="0" borderId="31" xfId="0" applyNumberFormat="1" applyFont="1" applyBorder="1" applyAlignment="1">
      <alignment horizontal="center" vertical="center"/>
    </xf>
    <xf numFmtId="0" fontId="26" fillId="2" borderId="26" xfId="0" applyFont="1" applyFill="1" applyBorder="1" applyAlignment="1">
      <alignment horizontal="right"/>
    </xf>
    <xf numFmtId="16" fontId="5" fillId="0" borderId="76" xfId="0" applyNumberFormat="1" applyFont="1" applyBorder="1" applyAlignment="1">
      <alignment horizontal="center" vertical="center"/>
    </xf>
    <xf numFmtId="0" fontId="30" fillId="2" borderId="0" xfId="8" applyFont="1" applyFill="1" applyAlignment="1">
      <alignment horizontal="center" vertical="center"/>
    </xf>
    <xf numFmtId="0" fontId="31" fillId="2" borderId="0" xfId="8" applyFont="1" applyFill="1" applyAlignment="1">
      <alignment horizontal="center" vertical="center"/>
    </xf>
    <xf numFmtId="0" fontId="31" fillId="10" borderId="12" xfId="8" applyFont="1" applyFill="1" applyBorder="1" applyAlignment="1">
      <alignment horizontal="center" vertical="center"/>
    </xf>
    <xf numFmtId="0" fontId="31" fillId="10" borderId="38" xfId="8" applyFont="1" applyFill="1" applyBorder="1" applyAlignment="1">
      <alignment horizontal="center" vertical="center"/>
    </xf>
    <xf numFmtId="0" fontId="31" fillId="10" borderId="13" xfId="8" applyFont="1" applyFill="1" applyBorder="1" applyAlignment="1">
      <alignment horizontal="center" vertical="center"/>
    </xf>
    <xf numFmtId="0" fontId="31" fillId="10" borderId="77" xfId="8" applyFont="1" applyFill="1" applyBorder="1" applyAlignment="1">
      <alignment horizontal="center" vertical="center"/>
    </xf>
    <xf numFmtId="0" fontId="31" fillId="10" borderId="78" xfId="8" applyFont="1" applyFill="1" applyBorder="1" applyAlignment="1">
      <alignment horizontal="center" vertical="center"/>
    </xf>
    <xf numFmtId="0" fontId="31" fillId="10" borderId="79" xfId="8" applyFont="1" applyFill="1" applyBorder="1" applyAlignment="1">
      <alignment horizontal="center" vertical="center"/>
    </xf>
    <xf numFmtId="0" fontId="31" fillId="11" borderId="80" xfId="8" applyFont="1" applyFill="1" applyBorder="1" applyAlignment="1">
      <alignment horizontal="center" vertical="center"/>
    </xf>
    <xf numFmtId="0" fontId="31" fillId="11" borderId="26" xfId="8" applyFont="1" applyFill="1" applyBorder="1" applyAlignment="1">
      <alignment horizontal="center" vertical="center"/>
    </xf>
    <xf numFmtId="0" fontId="31" fillId="11" borderId="53" xfId="8" applyFont="1" applyFill="1" applyBorder="1" applyAlignment="1">
      <alignment horizontal="center" vertical="center"/>
    </xf>
    <xf numFmtId="0" fontId="31" fillId="11" borderId="12" xfId="8" applyFont="1" applyFill="1" applyBorder="1" applyAlignment="1">
      <alignment horizontal="center" vertical="center"/>
    </xf>
    <xf numFmtId="0" fontId="31" fillId="11" borderId="38" xfId="8" applyFont="1" applyFill="1" applyBorder="1" applyAlignment="1">
      <alignment horizontal="center" vertical="center"/>
    </xf>
    <xf numFmtId="0" fontId="31" fillId="11" borderId="13" xfId="8" applyFont="1" applyFill="1" applyBorder="1" applyAlignment="1">
      <alignment horizontal="center" vertical="center"/>
    </xf>
    <xf numFmtId="164" fontId="5" fillId="2" borderId="41" xfId="1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wrapText="1"/>
    </xf>
    <xf numFmtId="0" fontId="5" fillId="2" borderId="29" xfId="0" applyFont="1" applyFill="1" applyBorder="1" applyAlignment="1">
      <alignment horizontal="center" vertical="center"/>
    </xf>
    <xf numFmtId="164" fontId="5" fillId="2" borderId="29" xfId="1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wrapText="1"/>
    </xf>
    <xf numFmtId="0" fontId="5" fillId="2" borderId="32" xfId="0" applyFont="1" applyFill="1" applyBorder="1" applyAlignment="1">
      <alignment horizontal="center" vertical="center"/>
    </xf>
    <xf numFmtId="164" fontId="5" fillId="2" borderId="32" xfId="1" applyFont="1" applyFill="1" applyBorder="1" applyAlignment="1">
      <alignment horizontal="center" vertical="center"/>
    </xf>
    <xf numFmtId="164" fontId="19" fillId="0" borderId="33" xfId="1" applyFont="1" applyBorder="1" applyAlignment="1">
      <alignment horizontal="center" vertical="center"/>
    </xf>
    <xf numFmtId="164" fontId="5" fillId="2" borderId="55" xfId="1" applyFont="1" applyFill="1" applyBorder="1" applyAlignment="1">
      <alignment horizontal="center" vertical="center"/>
    </xf>
    <xf numFmtId="164" fontId="5" fillId="0" borderId="40" xfId="1" applyFont="1" applyBorder="1" applyAlignment="1">
      <alignment horizontal="center" vertical="center"/>
    </xf>
    <xf numFmtId="164" fontId="5" fillId="0" borderId="14" xfId="1" applyFont="1" applyBorder="1" applyAlignment="1">
      <alignment horizontal="center" vertical="center"/>
    </xf>
    <xf numFmtId="164" fontId="5" fillId="0" borderId="35" xfId="1" applyFont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0" borderId="68" xfId="0" applyFont="1" applyBorder="1" applyAlignment="1">
      <alignment wrapText="1"/>
    </xf>
    <xf numFmtId="0" fontId="5" fillId="0" borderId="91" xfId="0" applyFont="1" applyBorder="1" applyAlignment="1">
      <alignment wrapText="1"/>
    </xf>
    <xf numFmtId="164" fontId="5" fillId="0" borderId="89" xfId="1" applyFont="1" applyBorder="1" applyAlignment="1">
      <alignment horizontal="center" vertical="center"/>
    </xf>
    <xf numFmtId="164" fontId="5" fillId="0" borderId="92" xfId="1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164" fontId="5" fillId="0" borderId="93" xfId="1" applyFont="1" applyBorder="1" applyAlignment="1">
      <alignment horizontal="center" vertical="center"/>
    </xf>
    <xf numFmtId="0" fontId="5" fillId="2" borderId="94" xfId="0" applyFont="1" applyFill="1" applyBorder="1" applyAlignment="1">
      <alignment wrapText="1"/>
    </xf>
    <xf numFmtId="0" fontId="5" fillId="2" borderId="55" xfId="0" applyFont="1" applyFill="1" applyBorder="1" applyAlignment="1">
      <alignment wrapText="1"/>
    </xf>
    <xf numFmtId="16" fontId="5" fillId="0" borderId="95" xfId="0" applyNumberFormat="1" applyFont="1" applyBorder="1" applyAlignment="1">
      <alignment horizontal="center" vertical="center"/>
    </xf>
    <xf numFmtId="0" fontId="5" fillId="2" borderId="96" xfId="0" applyFont="1" applyFill="1" applyBorder="1" applyAlignment="1">
      <alignment horizontal="center" vertical="center"/>
    </xf>
    <xf numFmtId="164" fontId="5" fillId="2" borderId="96" xfId="1" applyFont="1" applyFill="1" applyBorder="1" applyAlignment="1">
      <alignment horizontal="center" vertical="center"/>
    </xf>
    <xf numFmtId="164" fontId="5" fillId="2" borderId="97" xfId="1" applyFont="1" applyFill="1" applyBorder="1" applyAlignment="1">
      <alignment horizontal="center" vertical="center"/>
    </xf>
    <xf numFmtId="0" fontId="19" fillId="2" borderId="94" xfId="0" applyFont="1" applyFill="1" applyBorder="1" applyAlignment="1">
      <alignment wrapText="1"/>
    </xf>
    <xf numFmtId="0" fontId="19" fillId="2" borderId="96" xfId="0" applyFont="1" applyFill="1" applyBorder="1" applyAlignment="1">
      <alignment horizontal="center" vertical="center"/>
    </xf>
    <xf numFmtId="164" fontId="19" fillId="2" borderId="96" xfId="1" applyFont="1" applyFill="1" applyBorder="1" applyAlignment="1">
      <alignment horizontal="center" vertical="center"/>
    </xf>
    <xf numFmtId="164" fontId="19" fillId="2" borderId="97" xfId="1" applyFont="1" applyFill="1" applyBorder="1" applyAlignment="1">
      <alignment horizontal="center" vertical="center"/>
    </xf>
    <xf numFmtId="0" fontId="19" fillId="2" borderId="55" xfId="0" applyFont="1" applyFill="1" applyBorder="1" applyAlignment="1">
      <alignment wrapText="1"/>
    </xf>
    <xf numFmtId="0" fontId="19" fillId="2" borderId="55" xfId="0" applyFont="1" applyFill="1" applyBorder="1" applyAlignment="1">
      <alignment horizontal="center" vertical="center"/>
    </xf>
    <xf numFmtId="164" fontId="19" fillId="2" borderId="55" xfId="1" applyFont="1" applyFill="1" applyBorder="1" applyAlignment="1">
      <alignment horizontal="center" vertical="center"/>
    </xf>
    <xf numFmtId="16" fontId="19" fillId="0" borderId="98" xfId="0" applyNumberFormat="1" applyFont="1" applyBorder="1" applyAlignment="1">
      <alignment horizontal="center" vertical="center"/>
    </xf>
    <xf numFmtId="0" fontId="19" fillId="0" borderId="34" xfId="0" applyFont="1" applyBorder="1" applyAlignment="1">
      <alignment wrapText="1"/>
    </xf>
    <xf numFmtId="16" fontId="19" fillId="0" borderId="95" xfId="0" applyNumberFormat="1" applyFont="1" applyBorder="1" applyAlignment="1">
      <alignment horizontal="center" vertical="center"/>
    </xf>
  </cellXfs>
  <cellStyles count="11">
    <cellStyle name="Millares 2 3" xfId="10" xr:uid="{4156BC2C-7E8E-4A5F-A90C-680691C4C0DE}"/>
    <cellStyle name="Millares 5" xfId="4" xr:uid="{2CAD4F15-7B42-4A90-BD1C-818F64E4AD4B}"/>
    <cellStyle name="Moneda 2" xfId="1" xr:uid="{F7073EC1-AE6C-4C1B-8D05-D8148095E1DD}"/>
    <cellStyle name="Moneda 3" xfId="3" xr:uid="{914D8A6F-C78F-4D27-AD7F-B572DB9E0C1B}"/>
    <cellStyle name="Normal" xfId="0" builtinId="0"/>
    <cellStyle name="Normal 2" xfId="2" xr:uid="{6C22B90D-B9FA-4B25-AC65-CC1E36C2A75E}"/>
    <cellStyle name="Normal 4 2 2" xfId="7" xr:uid="{651267BE-83E1-4877-8961-7D84B208D12B}"/>
    <cellStyle name="Normal_ABBOTT STAND ALONE CUN COT" xfId="9" xr:uid="{F87EB881-15EA-4EAF-B0FB-9C4BD3C3F875}"/>
    <cellStyle name="Normal_ABOTT  BRU (2)" xfId="8" xr:uid="{9272A21B-9356-442E-A11D-5C8722C535E7}"/>
    <cellStyle name="Normal_FORMATO DE CIERRE ABBOTT" xfId="6" xr:uid="{81B25212-467F-4057-9340-2B85DA3B472F}"/>
    <cellStyle name="Normal_FORMATO LICITACION CONVENCION 2009" xfId="5" xr:uid="{A3A89EF3-6D5F-43A6-9650-CE702FF12A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customXml" Target="../customXml/item3.xml"/><Relationship Id="rId21" Type="http://schemas.openxmlformats.org/officeDocument/2006/relationships/externalLink" Target="externalLinks/externalLink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439615</xdr:colOff>
      <xdr:row>2</xdr:row>
      <xdr:rowOff>62803</xdr:rowOff>
    </xdr:from>
    <xdr:to>
      <xdr:col>5</xdr:col>
      <xdr:colOff>895966</xdr:colOff>
      <xdr:row>3</xdr:row>
      <xdr:rowOff>182041</xdr:rowOff>
    </xdr:to>
    <xdr:pic>
      <xdr:nvPicPr>
        <xdr:cNvPr id="2" name="Picture 3" descr="A blue text on a black background&#10;&#10;AI-generated content may be incorrect.">
          <a:extLst>
            <a:ext uri="{FF2B5EF4-FFF2-40B4-BE49-F238E27FC236}">
              <a16:creationId xmlns:a16="http://schemas.microsoft.com/office/drawing/2014/main" id="{FD50BFB8-7E1B-4AE2-BF49-1004A843B3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51" t="29077" r="12727" b="27280"/>
        <a:stretch>
          <a:fillRect/>
        </a:stretch>
      </xdr:blipFill>
      <xdr:spPr>
        <a:xfrm>
          <a:off x="4836355" y="436183"/>
          <a:ext cx="1519341" cy="3135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50676</xdr:rowOff>
    </xdr:to>
    <xdr:pic>
      <xdr:nvPicPr>
        <xdr:cNvPr id="2" name="Imagen 3" descr="logoozum">
          <a:extLst>
            <a:ext uri="{FF2B5EF4-FFF2-40B4-BE49-F238E27FC236}">
              <a16:creationId xmlns:a16="http://schemas.microsoft.com/office/drawing/2014/main" id="{430C6F32-C37D-4992-8D73-23703129C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175808" cy="72123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9</xdr:col>
      <xdr:colOff>1139190</xdr:colOff>
      <xdr:row>4</xdr:row>
      <xdr:rowOff>59077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A5BB0FE4-4BA9-4380-97A1-7C9142E4B124}"/>
            </a:ext>
            <a:ext uri="{147F2762-F138-4A5C-976F-8EAC2B608ADB}">
              <a16:predDERef xmlns:a16="http://schemas.microsoft.com/office/drawing/2014/main" pred="{430C6F32-C37D-4992-8D73-23703129C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4575" y="19050"/>
          <a:ext cx="2406015" cy="80202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50676</xdr:rowOff>
    </xdr:to>
    <xdr:pic>
      <xdr:nvPicPr>
        <xdr:cNvPr id="2" name="Imagen 1" descr="logoozum">
          <a:extLst>
            <a:ext uri="{FF2B5EF4-FFF2-40B4-BE49-F238E27FC236}">
              <a16:creationId xmlns:a16="http://schemas.microsoft.com/office/drawing/2014/main" id="{D967C134-25DF-423A-A19E-0A0EB3B68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175808" cy="72123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10</xdr:col>
      <xdr:colOff>5715</xdr:colOff>
      <xdr:row>4</xdr:row>
      <xdr:rowOff>59077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3CF019-2D6D-4AF1-883B-20AC762B052E}"/>
            </a:ext>
            <a:ext uri="{147F2762-F138-4A5C-976F-8EAC2B608ADB}">
              <a16:predDERef xmlns:a16="http://schemas.microsoft.com/office/drawing/2014/main" pred="{D967C134-25DF-423A-A19E-0A0EB3B68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4575" y="19050"/>
          <a:ext cx="2406015" cy="80202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50676</xdr:rowOff>
    </xdr:to>
    <xdr:pic>
      <xdr:nvPicPr>
        <xdr:cNvPr id="2" name="Imagen 1" descr="logoozum">
          <a:extLst>
            <a:ext uri="{FF2B5EF4-FFF2-40B4-BE49-F238E27FC236}">
              <a16:creationId xmlns:a16="http://schemas.microsoft.com/office/drawing/2014/main" id="{F153FB12-34C0-4EB4-AE52-D5481D386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175808" cy="72123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9</xdr:col>
      <xdr:colOff>1224915</xdr:colOff>
      <xdr:row>4</xdr:row>
      <xdr:rowOff>59077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B70902-3DB8-43F9-9BF9-EE5DA444F945}"/>
            </a:ext>
            <a:ext uri="{147F2762-F138-4A5C-976F-8EAC2B608ADB}">
              <a16:predDERef xmlns:a16="http://schemas.microsoft.com/office/drawing/2014/main" pred="{F153FB12-34C0-4EB4-AE52-D5481D386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4575" y="19050"/>
          <a:ext cx="2406015" cy="80202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79251</xdr:rowOff>
    </xdr:to>
    <xdr:pic>
      <xdr:nvPicPr>
        <xdr:cNvPr id="2" name="Imagen 1" descr="logoozum">
          <a:extLst>
            <a:ext uri="{FF2B5EF4-FFF2-40B4-BE49-F238E27FC236}">
              <a16:creationId xmlns:a16="http://schemas.microsoft.com/office/drawing/2014/main" id="{4ED1786F-07CF-45D3-AF22-C97048B38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212003" cy="726951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10</xdr:col>
      <xdr:colOff>5715</xdr:colOff>
      <xdr:row>4</xdr:row>
      <xdr:rowOff>87652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CC77B7-7387-448C-A4E7-3FCF638F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1275" y="19050"/>
          <a:ext cx="2466975" cy="80774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50676</xdr:rowOff>
    </xdr:to>
    <xdr:pic>
      <xdr:nvPicPr>
        <xdr:cNvPr id="2" name="Imagen 1" descr="logoozum">
          <a:extLst>
            <a:ext uri="{FF2B5EF4-FFF2-40B4-BE49-F238E27FC236}">
              <a16:creationId xmlns:a16="http://schemas.microsoft.com/office/drawing/2014/main" id="{F5B82239-D43E-4C05-B14E-033E5D2B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175808" cy="72123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9</xdr:col>
      <xdr:colOff>1139190</xdr:colOff>
      <xdr:row>4</xdr:row>
      <xdr:rowOff>59077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7C0C04-47A5-49E1-A4DD-0C66267E8595}"/>
            </a:ext>
            <a:ext uri="{147F2762-F138-4A5C-976F-8EAC2B608ADB}">
              <a16:predDERef xmlns:a16="http://schemas.microsoft.com/office/drawing/2014/main" pred="{F5B82239-D43E-4C05-B14E-033E5D2B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4575" y="19050"/>
          <a:ext cx="2406015" cy="80202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49</xdr:row>
      <xdr:rowOff>96678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90F630A-B897-49DB-9EAA-119D441A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67825" y="0"/>
          <a:ext cx="0" cy="248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49</xdr:row>
      <xdr:rowOff>96678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B84571DC-46E7-45FA-A98E-02A8EB297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67825" y="0"/>
          <a:ext cx="0" cy="248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462570</xdr:colOff>
      <xdr:row>0</xdr:row>
      <xdr:rowOff>93102</xdr:rowOff>
    </xdr:from>
    <xdr:to>
      <xdr:col>4</xdr:col>
      <xdr:colOff>864668</xdr:colOff>
      <xdr:row>3</xdr:row>
      <xdr:rowOff>100965</xdr:rowOff>
    </xdr:to>
    <xdr:pic>
      <xdr:nvPicPr>
        <xdr:cNvPr id="4" name="Imagen 2" descr="logoozum">
          <a:extLst>
            <a:ext uri="{FF2B5EF4-FFF2-40B4-BE49-F238E27FC236}">
              <a16:creationId xmlns:a16="http://schemas.microsoft.com/office/drawing/2014/main" id="{34FB7E25-E916-4794-8E82-68B3645C9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1800" y="96912"/>
          <a:ext cx="1506998" cy="756528"/>
        </a:xfrm>
        <a:prstGeom prst="rect">
          <a:avLst/>
        </a:prstGeom>
        <a:noFill/>
      </xdr:spPr>
    </xdr:pic>
    <xdr:clientData/>
  </xdr:twoCellAnchor>
  <xdr:twoCellAnchor editAs="oneCell">
    <xdr:from>
      <xdr:col>43</xdr:col>
      <xdr:colOff>564775</xdr:colOff>
      <xdr:row>0</xdr:row>
      <xdr:rowOff>197224</xdr:rowOff>
    </xdr:from>
    <xdr:to>
      <xdr:col>45</xdr:col>
      <xdr:colOff>503189</xdr:colOff>
      <xdr:row>3</xdr:row>
      <xdr:rowOff>67778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6DABCAF-5352-4B85-AA3D-FC244EA0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9745" y="199129"/>
          <a:ext cx="2007244" cy="626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12</xdr:row>
      <xdr:rowOff>101758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85CDBF2-AE37-4DE2-863D-B27EB7106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67825" y="0"/>
          <a:ext cx="0" cy="2488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12</xdr:row>
      <xdr:rowOff>101758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9256E31-8F34-4EF4-A47E-DDDFB4AD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67825" y="0"/>
          <a:ext cx="0" cy="2488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462570</xdr:colOff>
      <xdr:row>0</xdr:row>
      <xdr:rowOff>93102</xdr:rowOff>
    </xdr:from>
    <xdr:to>
      <xdr:col>4</xdr:col>
      <xdr:colOff>864668</xdr:colOff>
      <xdr:row>3</xdr:row>
      <xdr:rowOff>100965</xdr:rowOff>
    </xdr:to>
    <xdr:pic>
      <xdr:nvPicPr>
        <xdr:cNvPr id="4" name="Imagen 2" descr="logoozum">
          <a:extLst>
            <a:ext uri="{FF2B5EF4-FFF2-40B4-BE49-F238E27FC236}">
              <a16:creationId xmlns:a16="http://schemas.microsoft.com/office/drawing/2014/main" id="{96C26F58-8541-441A-B78C-663B0859F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1800" y="96912"/>
          <a:ext cx="1506998" cy="756528"/>
        </a:xfrm>
        <a:prstGeom prst="rect">
          <a:avLst/>
        </a:prstGeom>
        <a:noFill/>
      </xdr:spPr>
    </xdr:pic>
    <xdr:clientData/>
  </xdr:twoCellAnchor>
  <xdr:twoCellAnchor editAs="oneCell">
    <xdr:from>
      <xdr:col>43</xdr:col>
      <xdr:colOff>564775</xdr:colOff>
      <xdr:row>0</xdr:row>
      <xdr:rowOff>197224</xdr:rowOff>
    </xdr:from>
    <xdr:to>
      <xdr:col>45</xdr:col>
      <xdr:colOff>503189</xdr:colOff>
      <xdr:row>3</xdr:row>
      <xdr:rowOff>67778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AB5922A-8F51-4A9D-8493-300F8D56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9745" y="199129"/>
          <a:ext cx="2007244" cy="626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12</xdr:row>
      <xdr:rowOff>101758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8CCF6EF5-0DF1-4F0E-9B72-403EACD6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06550" y="0"/>
          <a:ext cx="0" cy="2488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12</xdr:row>
      <xdr:rowOff>101758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6A9A4BA-7470-449C-8BF2-10D5C2317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06550" y="0"/>
          <a:ext cx="0" cy="2488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462570</xdr:colOff>
      <xdr:row>0</xdr:row>
      <xdr:rowOff>93102</xdr:rowOff>
    </xdr:from>
    <xdr:to>
      <xdr:col>4</xdr:col>
      <xdr:colOff>864668</xdr:colOff>
      <xdr:row>3</xdr:row>
      <xdr:rowOff>100965</xdr:rowOff>
    </xdr:to>
    <xdr:pic>
      <xdr:nvPicPr>
        <xdr:cNvPr id="4" name="Imagen 2" descr="logoozum">
          <a:extLst>
            <a:ext uri="{FF2B5EF4-FFF2-40B4-BE49-F238E27FC236}">
              <a16:creationId xmlns:a16="http://schemas.microsoft.com/office/drawing/2014/main" id="{9B60FF36-830E-4C65-806E-B486E7C4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1800" y="96912"/>
          <a:ext cx="1506998" cy="756528"/>
        </a:xfrm>
        <a:prstGeom prst="rect">
          <a:avLst/>
        </a:prstGeom>
        <a:noFill/>
      </xdr:spPr>
    </xdr:pic>
    <xdr:clientData/>
  </xdr:twoCellAnchor>
  <xdr:twoCellAnchor editAs="oneCell">
    <xdr:from>
      <xdr:col>43</xdr:col>
      <xdr:colOff>564775</xdr:colOff>
      <xdr:row>0</xdr:row>
      <xdr:rowOff>197224</xdr:rowOff>
    </xdr:from>
    <xdr:to>
      <xdr:col>45</xdr:col>
      <xdr:colOff>496204</xdr:colOff>
      <xdr:row>3</xdr:row>
      <xdr:rowOff>72858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E1F138F-91CF-4F20-8E32-1D1272DB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68470" y="199129"/>
          <a:ext cx="2002164" cy="630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12</xdr:row>
      <xdr:rowOff>96678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B643344-5A58-4ACF-9F9F-38DE7B8C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34050" y="0"/>
          <a:ext cx="0" cy="248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12</xdr:row>
      <xdr:rowOff>96678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A8FB956-8EEF-400E-946A-9745267C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34050" y="0"/>
          <a:ext cx="0" cy="248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462570</xdr:colOff>
      <xdr:row>0</xdr:row>
      <xdr:rowOff>93102</xdr:rowOff>
    </xdr:from>
    <xdr:to>
      <xdr:col>4</xdr:col>
      <xdr:colOff>864668</xdr:colOff>
      <xdr:row>3</xdr:row>
      <xdr:rowOff>100965</xdr:rowOff>
    </xdr:to>
    <xdr:pic>
      <xdr:nvPicPr>
        <xdr:cNvPr id="4" name="Imagen 2" descr="logoozum">
          <a:extLst>
            <a:ext uri="{FF2B5EF4-FFF2-40B4-BE49-F238E27FC236}">
              <a16:creationId xmlns:a16="http://schemas.microsoft.com/office/drawing/2014/main" id="{FE604244-E66E-42EC-929D-43B3735C7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1800" y="96912"/>
          <a:ext cx="1506998" cy="756528"/>
        </a:xfrm>
        <a:prstGeom prst="rect">
          <a:avLst/>
        </a:prstGeom>
        <a:noFill/>
      </xdr:spPr>
    </xdr:pic>
    <xdr:clientData/>
  </xdr:twoCellAnchor>
  <xdr:twoCellAnchor editAs="oneCell">
    <xdr:from>
      <xdr:col>43</xdr:col>
      <xdr:colOff>564775</xdr:colOff>
      <xdr:row>0</xdr:row>
      <xdr:rowOff>197224</xdr:rowOff>
    </xdr:from>
    <xdr:to>
      <xdr:col>45</xdr:col>
      <xdr:colOff>496203</xdr:colOff>
      <xdr:row>3</xdr:row>
      <xdr:rowOff>72858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6177439-9054-4F57-8BFF-CE4CEBDD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5970" y="199129"/>
          <a:ext cx="2002163" cy="630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12</xdr:row>
      <xdr:rowOff>96678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0CAC58B-7A45-484A-9A4B-081678F9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53050" y="0"/>
          <a:ext cx="0" cy="248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12</xdr:row>
      <xdr:rowOff>96678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CD93F856-D6A1-4C68-BD33-DE6FDFB8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53050" y="0"/>
          <a:ext cx="0" cy="248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462570</xdr:colOff>
      <xdr:row>0</xdr:row>
      <xdr:rowOff>93102</xdr:rowOff>
    </xdr:from>
    <xdr:to>
      <xdr:col>4</xdr:col>
      <xdr:colOff>864668</xdr:colOff>
      <xdr:row>3</xdr:row>
      <xdr:rowOff>100965</xdr:rowOff>
    </xdr:to>
    <xdr:pic>
      <xdr:nvPicPr>
        <xdr:cNvPr id="4" name="Imagen 2" descr="logoozum">
          <a:extLst>
            <a:ext uri="{FF2B5EF4-FFF2-40B4-BE49-F238E27FC236}">
              <a16:creationId xmlns:a16="http://schemas.microsoft.com/office/drawing/2014/main" id="{BB0AEB4B-3A28-44DC-A919-4CBCF3858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1800" y="96912"/>
          <a:ext cx="1506998" cy="756528"/>
        </a:xfrm>
        <a:prstGeom prst="rect">
          <a:avLst/>
        </a:prstGeom>
        <a:noFill/>
      </xdr:spPr>
    </xdr:pic>
    <xdr:clientData/>
  </xdr:twoCellAnchor>
  <xdr:twoCellAnchor editAs="oneCell">
    <xdr:from>
      <xdr:col>43</xdr:col>
      <xdr:colOff>564775</xdr:colOff>
      <xdr:row>0</xdr:row>
      <xdr:rowOff>197224</xdr:rowOff>
    </xdr:from>
    <xdr:to>
      <xdr:col>45</xdr:col>
      <xdr:colOff>496204</xdr:colOff>
      <xdr:row>3</xdr:row>
      <xdr:rowOff>72858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03B1D6D-73F2-4562-B1D9-5F0DEDE8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4970" y="199129"/>
          <a:ext cx="2002164" cy="630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50676</xdr:rowOff>
    </xdr:to>
    <xdr:pic>
      <xdr:nvPicPr>
        <xdr:cNvPr id="2" name="Imagen 1" descr="logoozum">
          <a:extLst>
            <a:ext uri="{FF2B5EF4-FFF2-40B4-BE49-F238E27FC236}">
              <a16:creationId xmlns:a16="http://schemas.microsoft.com/office/drawing/2014/main" id="{9A79F92E-155D-4B49-85EA-412AB81D9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175808" cy="72123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10</xdr:col>
      <xdr:colOff>5715</xdr:colOff>
      <xdr:row>4</xdr:row>
      <xdr:rowOff>59077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B09FD5-E6A5-476C-BB49-2ADC63E37820}"/>
            </a:ext>
            <a:ext uri="{147F2762-F138-4A5C-976F-8EAC2B608ADB}">
              <a16:predDERef xmlns:a16="http://schemas.microsoft.com/office/drawing/2014/main" pred="{9A79F92E-155D-4B49-85EA-412AB81D9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4575" y="19050"/>
          <a:ext cx="2406015" cy="80202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12</xdr:row>
      <xdr:rowOff>96678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7802673-577D-44C6-A04B-4A24338B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19700" y="0"/>
          <a:ext cx="0" cy="248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419100</xdr:colOff>
      <xdr:row>0</xdr:row>
      <xdr:rowOff>0</xdr:rowOff>
    </xdr:from>
    <xdr:to>
      <xdr:col>50</xdr:col>
      <xdr:colOff>419100</xdr:colOff>
      <xdr:row>12</xdr:row>
      <xdr:rowOff>96678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5825C84-654B-4A33-AEFC-4E0145F32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19700" y="0"/>
          <a:ext cx="0" cy="248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462570</xdr:colOff>
      <xdr:row>0</xdr:row>
      <xdr:rowOff>93102</xdr:rowOff>
    </xdr:from>
    <xdr:to>
      <xdr:col>4</xdr:col>
      <xdr:colOff>864668</xdr:colOff>
      <xdr:row>3</xdr:row>
      <xdr:rowOff>100965</xdr:rowOff>
    </xdr:to>
    <xdr:pic>
      <xdr:nvPicPr>
        <xdr:cNvPr id="4" name="Imagen 2" descr="logoozum">
          <a:extLst>
            <a:ext uri="{FF2B5EF4-FFF2-40B4-BE49-F238E27FC236}">
              <a16:creationId xmlns:a16="http://schemas.microsoft.com/office/drawing/2014/main" id="{0C13370F-86B3-4AD4-9610-BCFE964AC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1800" y="96912"/>
          <a:ext cx="1506998" cy="756528"/>
        </a:xfrm>
        <a:prstGeom prst="rect">
          <a:avLst/>
        </a:prstGeom>
        <a:noFill/>
      </xdr:spPr>
    </xdr:pic>
    <xdr:clientData/>
  </xdr:twoCellAnchor>
  <xdr:twoCellAnchor editAs="oneCell">
    <xdr:from>
      <xdr:col>43</xdr:col>
      <xdr:colOff>564775</xdr:colOff>
      <xdr:row>0</xdr:row>
      <xdr:rowOff>197224</xdr:rowOff>
    </xdr:from>
    <xdr:to>
      <xdr:col>45</xdr:col>
      <xdr:colOff>503188</xdr:colOff>
      <xdr:row>3</xdr:row>
      <xdr:rowOff>67778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99ECAD-B62E-47B6-99A0-1997E63E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1620" y="199129"/>
          <a:ext cx="2007243" cy="626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79251</xdr:rowOff>
    </xdr:to>
    <xdr:pic>
      <xdr:nvPicPr>
        <xdr:cNvPr id="2" name="Imagen 1" descr="logoozum">
          <a:extLst>
            <a:ext uri="{FF2B5EF4-FFF2-40B4-BE49-F238E27FC236}">
              <a16:creationId xmlns:a16="http://schemas.microsoft.com/office/drawing/2014/main" id="{65524FB2-C3B7-4E90-A951-69D21C19C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212003" cy="726951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9</xdr:col>
      <xdr:colOff>1238250</xdr:colOff>
      <xdr:row>4</xdr:row>
      <xdr:rowOff>87652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AB4E6E-5395-4AFF-9E55-DCCFD1CF4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1275" y="19050"/>
          <a:ext cx="2466975" cy="8077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79251</xdr:rowOff>
    </xdr:to>
    <xdr:pic>
      <xdr:nvPicPr>
        <xdr:cNvPr id="4" name="Imagen 3" descr="logoozum">
          <a:extLst>
            <a:ext uri="{FF2B5EF4-FFF2-40B4-BE49-F238E27FC236}">
              <a16:creationId xmlns:a16="http://schemas.microsoft.com/office/drawing/2014/main" id="{F7308943-9203-48F5-9C6C-4514CFEE9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212003" cy="726951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9</xdr:col>
      <xdr:colOff>1139190</xdr:colOff>
      <xdr:row>4</xdr:row>
      <xdr:rowOff>87652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787E2F-B723-C9D0-61AD-51D0D58BE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10800" y="19050"/>
          <a:ext cx="2466975" cy="8020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79251</xdr:rowOff>
    </xdr:to>
    <xdr:pic>
      <xdr:nvPicPr>
        <xdr:cNvPr id="2" name="Imagen 1" descr="logoozum">
          <a:extLst>
            <a:ext uri="{FF2B5EF4-FFF2-40B4-BE49-F238E27FC236}">
              <a16:creationId xmlns:a16="http://schemas.microsoft.com/office/drawing/2014/main" id="{4BA6462F-7DCD-4577-83AB-330633362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212003" cy="726951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9</xdr:col>
      <xdr:colOff>1139190</xdr:colOff>
      <xdr:row>4</xdr:row>
      <xdr:rowOff>87652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981D65-C035-4243-B1F2-C9ADDD2E0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1275" y="19050"/>
          <a:ext cx="2466975" cy="8077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50676</xdr:rowOff>
    </xdr:to>
    <xdr:pic>
      <xdr:nvPicPr>
        <xdr:cNvPr id="2" name="Imagen 1" descr="logoozum">
          <a:extLst>
            <a:ext uri="{FF2B5EF4-FFF2-40B4-BE49-F238E27FC236}">
              <a16:creationId xmlns:a16="http://schemas.microsoft.com/office/drawing/2014/main" id="{C64676E0-3193-4307-A1C4-39D36D7C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175808" cy="72123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9</xdr:col>
      <xdr:colOff>1139190</xdr:colOff>
      <xdr:row>4</xdr:row>
      <xdr:rowOff>59077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B594B4-AC21-49DA-B2E6-6697F4FFAFCA}"/>
            </a:ext>
            <a:ext uri="{147F2762-F138-4A5C-976F-8EAC2B608ADB}">
              <a16:predDERef xmlns:a16="http://schemas.microsoft.com/office/drawing/2014/main" pred="{C64676E0-3193-4307-A1C4-39D36D7C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4575" y="19050"/>
          <a:ext cx="2406015" cy="8020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50676</xdr:rowOff>
    </xdr:to>
    <xdr:pic>
      <xdr:nvPicPr>
        <xdr:cNvPr id="2" name="Imagen 3" descr="logoozum">
          <a:extLst>
            <a:ext uri="{FF2B5EF4-FFF2-40B4-BE49-F238E27FC236}">
              <a16:creationId xmlns:a16="http://schemas.microsoft.com/office/drawing/2014/main" id="{73049454-8D8A-4992-A729-2BC694EF0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175808" cy="72123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9</xdr:col>
      <xdr:colOff>1139190</xdr:colOff>
      <xdr:row>4</xdr:row>
      <xdr:rowOff>59077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58C027F3-834F-4CD0-AF2D-2D24B35E713C}"/>
            </a:ext>
            <a:ext uri="{147F2762-F138-4A5C-976F-8EAC2B608ADB}">
              <a16:predDERef xmlns:a16="http://schemas.microsoft.com/office/drawing/2014/main" pred="{73049454-8D8A-4992-A729-2BC694EF0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4575" y="19050"/>
          <a:ext cx="2406015" cy="8020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50676</xdr:rowOff>
    </xdr:to>
    <xdr:pic>
      <xdr:nvPicPr>
        <xdr:cNvPr id="2" name="Imagen 3" descr="logoozum">
          <a:extLst>
            <a:ext uri="{FF2B5EF4-FFF2-40B4-BE49-F238E27FC236}">
              <a16:creationId xmlns:a16="http://schemas.microsoft.com/office/drawing/2014/main" id="{FF29AAFD-16E5-42A7-8B1B-700AF4682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175808" cy="72123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9</xdr:col>
      <xdr:colOff>1139190</xdr:colOff>
      <xdr:row>4</xdr:row>
      <xdr:rowOff>59077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37A1068A-ED20-417B-A893-FB893C15D208}"/>
            </a:ext>
            <a:ext uri="{147F2762-F138-4A5C-976F-8EAC2B608ADB}">
              <a16:predDERef xmlns:a16="http://schemas.microsoft.com/office/drawing/2014/main" pred="{FF29AAFD-16E5-42A7-8B1B-700AF4682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4575" y="19050"/>
          <a:ext cx="2406015" cy="8020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91440</xdr:rowOff>
    </xdr:from>
    <xdr:to>
      <xdr:col>1</xdr:col>
      <xdr:colOff>952923</xdr:colOff>
      <xdr:row>4</xdr:row>
      <xdr:rowOff>50676</xdr:rowOff>
    </xdr:to>
    <xdr:pic>
      <xdr:nvPicPr>
        <xdr:cNvPr id="2" name="Imagen 3" descr="logoozum">
          <a:extLst>
            <a:ext uri="{FF2B5EF4-FFF2-40B4-BE49-F238E27FC236}">
              <a16:creationId xmlns:a16="http://schemas.microsoft.com/office/drawing/2014/main" id="{6001F29D-FF93-445D-9F12-AD29F187A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91440"/>
          <a:ext cx="1175808" cy="72123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676275</xdr:colOff>
      <xdr:row>0</xdr:row>
      <xdr:rowOff>19050</xdr:rowOff>
    </xdr:from>
    <xdr:to>
      <xdr:col>9</xdr:col>
      <xdr:colOff>1139190</xdr:colOff>
      <xdr:row>4</xdr:row>
      <xdr:rowOff>59077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F6BB5FF0-CAD9-49B9-B128-0EB08D82C6A3}"/>
            </a:ext>
            <a:ext uri="{147F2762-F138-4A5C-976F-8EAC2B608ADB}">
              <a16:predDERef xmlns:a16="http://schemas.microsoft.com/office/drawing/2014/main" pred="{6001F29D-FF93-445D-9F12-AD29F187A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4575" y="19050"/>
          <a:ext cx="2406015" cy="8020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Ventas\Documents%20and%20Settings\jorgeh.PRESER\Configuraci&#243;n%20local\Archivos%20temporales%20de%20Internet\OLKBA\WINDOWS\Archivos%20temporales%20de%20Internet\OLK5232\Cotizaciones\J%20K%20L\lightspanCONTABILIDA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bbott-my.sharepoint.com/Users/sanchga1/Documents/Plantilla%20Itinerario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EDUARDO\marzo\PUM.xls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personal/valeria_casas_o-zum_com/Documents/Escritorio/FORMATOS%20LIZ/Formato%20cotizacion.xlsx" TargetMode="External"/><Relationship Id="rId2" Type="http://schemas.openxmlformats.org/officeDocument/2006/relationships/externalLinkPath" Target="https://ozum-my.sharepoint.com/personal/valeria_casas_o-zum_com/Documents/Escritorio/FORMATOS%20LIZ/Formato%20cotizacion.xlsx" TargetMode="External"/><Relationship Id="rId1" Type="http://schemas.openxmlformats.org/officeDocument/2006/relationships/externalLinkPath" Target="/personal/valeria_casas_o-zum_com/Documents/Escritorio/FORMATOS%20LIZ/Formato%20cotizac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VGSAM7\Vgsam.xla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xfiles\clientes\Nexium\2009-10%20HT%20Nexium%20APE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SE\MED1612%20Cierre%20Noreste%20MJ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@\Castilloj\c\ARCHIVOS\DRENAJEP\DEPRECI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xfiles\clientes\Documents%20and%20Settings\YORDAZ\Configuraci&#243;n%20local\Archivos%20temporales%20de%20Internet\OLK3\VARIOS\ciul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~1\VLOPEZ\CONFIG~1\Temp\ASTRA%20ZENEC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iemx\Configuraci&#243;n%20local\Archivos%20temporales%20de%20Internet\Content.Outlook\7EN2QPOM\ODT%20DISE&#209;O%20DE%20PROYECTO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xium\2009-10%20HT%20Nexium%20AP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ENT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 Consecutivo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"/>
      <sheetName val="COTIZACIÓN"/>
      <sheetName val="COTIZACION AEREO"/>
    </sheetNames>
    <sheetDataSet>
      <sheetData sheetId="0"/>
      <sheetData sheetId="1">
        <row r="111">
          <cell r="F111">
            <v>0</v>
          </cell>
          <cell r="G111">
            <v>0</v>
          </cell>
          <cell r="H111">
            <v>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Compile"/>
      <sheetName val="OrgDrill"/>
      <sheetName val="ProdDril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I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otizacion Acuerdo"/>
      <sheetName val="Cierre MJN"/>
      <sheetName val="Rooming MJN"/>
      <sheetName val="Concetrado MJN"/>
      <sheetName val="TLMK Final"/>
      <sheetName val="Reclasificacion Staff MJN"/>
      <sheetName val="LLEGADAS"/>
      <sheetName val="SALIDAS"/>
      <sheetName val="LISTADO DE ASISTENTES"/>
      <sheetName val="Coti VS Cierre"/>
      <sheetName val="RESUMEN"/>
      <sheetName val="Hoja7"/>
      <sheetName val="TLMK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 ESC CSNEPU"/>
      <sheetName val="CH ESC ICA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udades"/>
      <sheetName val="LAS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S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I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F33B-89C3-4BEE-B173-1411654DA187}">
  <dimension ref="A1:O29"/>
  <sheetViews>
    <sheetView tabSelected="1" topLeftCell="B8" zoomScale="91" zoomScaleNormal="115" workbookViewId="0">
      <selection activeCell="K6" sqref="K6"/>
    </sheetView>
  </sheetViews>
  <sheetFormatPr defaultColWidth="8.85546875" defaultRowHeight="15" customHeight="1"/>
  <cols>
    <col min="1" max="1" width="13.42578125" bestFit="1" customWidth="1"/>
    <col min="2" max="2" width="38.85546875" customWidth="1"/>
    <col min="3" max="3" width="16.28515625" customWidth="1"/>
    <col min="4" max="4" width="18.5703125" customWidth="1"/>
    <col min="5" max="5" width="15.42578125" customWidth="1"/>
    <col min="6" max="6" width="14.7109375" customWidth="1"/>
    <col min="7" max="7" width="16.85546875" customWidth="1"/>
    <col min="8" max="8" width="15.7109375" customWidth="1"/>
    <col min="9" max="13" width="15.85546875" customWidth="1"/>
    <col min="14" max="14" width="17.28515625" customWidth="1"/>
    <col min="15" max="15" width="17.140625" customWidth="1"/>
  </cols>
  <sheetData>
    <row r="1" spans="1:15">
      <c r="A1" s="105" t="s">
        <v>0</v>
      </c>
      <c r="B1" s="106" t="s">
        <v>1</v>
      </c>
      <c r="C1" s="153"/>
      <c r="D1" s="107"/>
      <c r="E1" s="107"/>
      <c r="F1" s="107"/>
    </row>
    <row r="2" spans="1:15">
      <c r="A2" s="105" t="s">
        <v>2</v>
      </c>
      <c r="B2" s="108" t="s">
        <v>3</v>
      </c>
      <c r="C2" s="134"/>
      <c r="D2" s="109"/>
      <c r="E2" s="109"/>
      <c r="F2" s="109"/>
    </row>
    <row r="3" spans="1:15">
      <c r="A3" s="105" t="s">
        <v>4</v>
      </c>
      <c r="B3" s="110" t="s">
        <v>5</v>
      </c>
      <c r="C3" s="135"/>
      <c r="D3" s="111"/>
      <c r="E3" s="111"/>
      <c r="F3" s="111"/>
    </row>
    <row r="4" spans="1:15">
      <c r="A4" s="105" t="s">
        <v>6</v>
      </c>
      <c r="B4" s="112" t="s">
        <v>7</v>
      </c>
      <c r="C4" s="136"/>
      <c r="D4" s="111"/>
      <c r="E4" s="111"/>
      <c r="F4" s="111"/>
    </row>
    <row r="5" spans="1:15">
      <c r="A5" s="105" t="s">
        <v>8</v>
      </c>
      <c r="B5" s="112"/>
      <c r="C5" s="136"/>
      <c r="D5" s="111"/>
      <c r="E5" s="111"/>
      <c r="F5" s="111"/>
    </row>
    <row r="6" spans="1:15">
      <c r="A6" s="105" t="s">
        <v>9</v>
      </c>
      <c r="B6" s="112">
        <v>410</v>
      </c>
      <c r="C6" s="136"/>
      <c r="D6" s="113"/>
      <c r="E6" s="111"/>
      <c r="F6" s="111"/>
    </row>
    <row r="7" spans="1:15">
      <c r="A7" s="105" t="s">
        <v>10</v>
      </c>
      <c r="B7" s="112" t="s">
        <v>11</v>
      </c>
      <c r="C7" s="136"/>
      <c r="D7" s="107"/>
      <c r="E7" s="111"/>
      <c r="F7" s="111"/>
    </row>
    <row r="8" spans="1:15">
      <c r="A8" s="105" t="s">
        <v>12</v>
      </c>
      <c r="B8" s="114"/>
      <c r="C8" s="136"/>
      <c r="D8" s="107"/>
      <c r="E8" s="111"/>
      <c r="F8" s="111"/>
    </row>
    <row r="9" spans="1:15"/>
    <row r="10" spans="1:15" ht="67.5" customHeight="1">
      <c r="B10" s="106" t="s">
        <v>13</v>
      </c>
      <c r="C10" s="115" t="s">
        <v>14</v>
      </c>
      <c r="D10" s="115" t="s">
        <v>15</v>
      </c>
      <c r="E10" s="115" t="s">
        <v>16</v>
      </c>
      <c r="F10" s="115" t="s">
        <v>17</v>
      </c>
      <c r="G10" s="115" t="s">
        <v>18</v>
      </c>
      <c r="H10" s="115" t="s">
        <v>19</v>
      </c>
      <c r="I10" s="115" t="s">
        <v>20</v>
      </c>
      <c r="J10" s="115" t="s">
        <v>21</v>
      </c>
      <c r="K10" s="115" t="s">
        <v>22</v>
      </c>
      <c r="L10" s="115" t="s">
        <v>23</v>
      </c>
      <c r="M10" s="115" t="s">
        <v>24</v>
      </c>
      <c r="N10" s="115" t="s">
        <v>25</v>
      </c>
      <c r="O10" s="115" t="s">
        <v>26</v>
      </c>
    </row>
    <row r="11" spans="1:15">
      <c r="B11" s="116" t="s">
        <v>27</v>
      </c>
      <c r="C11" s="117">
        <f>'BARCELO MAYA RIVIERA'!F116+'BARCELO MAYA RIVIERA'!G116+'BARCELO MAYA RIVIERA'!H116</f>
        <v>6005114.1999999983</v>
      </c>
      <c r="D11" s="117">
        <f>'FA CONDESA CANCUN '!F120+'FA CONDESA CANCUN '!G120+'FA CONDESA CANCUN '!H120</f>
        <v>5458558.5884999996</v>
      </c>
      <c r="E11" s="117">
        <f>'HILTON CANCUN'!F115+'HILTON CANCUN'!G115+'HILTON CANCUN'!H115</f>
        <v>6276991.799999998</v>
      </c>
      <c r="F11" s="117">
        <f>' AVA CANCUN'!F109+' AVA CANCUN'!G109+' AVA CANCUN'!H109</f>
        <v>7250821.7599999988</v>
      </c>
      <c r="G11" s="117">
        <f>'MOON PALACE CANCUN'!F104+'MOON PALACE CANCUN'!G104+'MOON PALACE CANCUN'!H104</f>
        <v>14259589.860000001</v>
      </c>
      <c r="H11" s="117">
        <f>'PARADISSUS CANCUN '!F112+'PARADISSUS CANCUN '!G112+'PARADISSUS CANCUN '!H112</f>
        <v>6296098.0000000009</v>
      </c>
      <c r="I11" s="117">
        <f>'PARADISSUS PLAYA CARMEN'!F106+'PARADISSUS PLAYA CARMEN'!G106+'PARADISSUS PLAYA CARMEN'!H106</f>
        <v>6643275.4399999995</v>
      </c>
      <c r="J11" s="117">
        <f>'OCCIDENTAL ENERO'!F109+'OCCIDENTAL ENERO'!G109+'OCCIDENTAL ENERO'!H109</f>
        <v>3976768.5500000003</v>
      </c>
      <c r="K11" s="117">
        <f>'OCCIDENTAL FEBRERO'!F109+'OCCIDENTAL FEBRERO'!G109+'OCCIDENTAL FEBRERO'!H109</f>
        <v>4106537.5500000003</v>
      </c>
      <c r="L11" s="117">
        <f>'HILTON TULUM'!F108+'HILTON TULUM'!G108+'HILTON TULUM'!H108</f>
        <v>5600654.25</v>
      </c>
      <c r="M11" s="117">
        <f>'GRAND FA LOS CABOS'!F99+'GRAND FA LOS CABOS'!H99</f>
        <v>6093170.2999999989</v>
      </c>
      <c r="N11" s="117">
        <f>'HARD ROCK LOS CABOS'!F109+'HARD ROCK LOS CABOS'!G109+'HARD ROCK LOS CABOS'!H109</f>
        <v>6801371.0600000005</v>
      </c>
      <c r="O11" s="117">
        <f>'PARADISSUS PALMA REAL'!F99</f>
        <v>10483400</v>
      </c>
    </row>
    <row r="12" spans="1:15">
      <c r="B12" s="116" t="s">
        <v>28</v>
      </c>
      <c r="C12" s="117">
        <f>'BARCELO MAYA RIVIERA'!F59+'BARCELO MAYA RIVIERA'!H59</f>
        <v>1320200</v>
      </c>
      <c r="D12" s="117">
        <f>'FA CONDESA CANCUN '!F121+'FA CONDESA CANCUN '!G121+'FA CONDESA CANCUN '!H121</f>
        <v>914710</v>
      </c>
      <c r="E12" s="117">
        <f>'HILTON CANCUN'!F116+'HILTON CANCUN'!G116+'HILTON CANCUN'!H116</f>
        <v>966575</v>
      </c>
      <c r="F12" s="117">
        <f>' AVA CANCUN'!F110+' AVA CANCUN'!G110+' AVA CANCUN'!H110</f>
        <v>0</v>
      </c>
      <c r="G12" s="117">
        <f>'MOON PALACE CANCUN'!F105+'MOON PALACE CANCUN'!G105+'MOON PALACE CANCUN'!H105</f>
        <v>306475</v>
      </c>
      <c r="H12" s="117">
        <f>'PARADISSUS CANCUN '!F113+'PARADISSUS CANCUN '!G113+'PARADISSUS CANCUN '!H113</f>
        <v>0</v>
      </c>
      <c r="I12" s="117">
        <f>'PARADISSUS PLAYA CARMEN'!F107+'PARADISSUS PLAYA CARMEN'!G107+'PARADISSUS PLAYA CARMEN'!H107</f>
        <v>0</v>
      </c>
      <c r="J12" s="117">
        <f>'OCCIDENTAL ENERO'!F110+'OCCIDENTAL ENERO'!H110</f>
        <v>545261</v>
      </c>
      <c r="K12" s="117">
        <f>'OCCIDENTAL FEBRERO'!F110+'OCCIDENTAL FEBRERO'!H110</f>
        <v>545261</v>
      </c>
      <c r="L12" s="117">
        <f>'HILTON TULUM'!F109+'HILTON TULUM'!H109</f>
        <v>820410</v>
      </c>
      <c r="M12" s="117">
        <f>'GRAND FA LOS CABOS'!F100+'GRAND FA LOS CABOS'!H100</f>
        <v>452640</v>
      </c>
      <c r="N12" s="117">
        <f>'HARD ROCK LOS CABOS'!F110+'HARD ROCK LOS CABOS'!G110+'HARD ROCK LOS CABOS'!H110</f>
        <v>0</v>
      </c>
      <c r="O12" s="117">
        <f>'PARADISSUS PALMA REAL'!F100</f>
        <v>419840</v>
      </c>
    </row>
    <row r="13" spans="1:15">
      <c r="B13" s="116" t="s">
        <v>29</v>
      </c>
      <c r="C13" s="117">
        <f>'BARCELO MAYA RIVIERA'!F118+'BARCELO MAYA RIVIERA'!G118+'BARCELO MAYA RIVIERA'!H118</f>
        <v>278186.40000000002</v>
      </c>
      <c r="D13" s="117">
        <f>'FA CONDESA CANCUN '!F122+'FA CONDESA CANCUN '!G122+'FA CONDESA CANCUN '!H122</f>
        <v>278186.40000000002</v>
      </c>
      <c r="E13" s="117">
        <f>'HILTON CANCUN'!F117+'HILTON CANCUN'!G117+'HILTON CANCUN'!H117</f>
        <v>278186.40000000002</v>
      </c>
      <c r="F13" s="117">
        <f>' AVA CANCUN'!F111+' AVA CANCUN'!G111+' AVA CANCUN'!H111</f>
        <v>278186.40000000002</v>
      </c>
      <c r="G13" s="117">
        <f>'MOON PALACE CANCUN'!F106+'MOON PALACE CANCUN'!G106+'MOON PALACE CANCUN'!H106</f>
        <v>278186.40000000002</v>
      </c>
      <c r="H13" s="117">
        <f>' AVA CANCUN'!H111+' AVA CANCUN'!I111+' AVA CANCUN'!J111</f>
        <v>377913.60000000003</v>
      </c>
      <c r="I13" s="117">
        <f>' AVA CANCUN'!I111+' AVA CANCUN'!J111+' AVA CANCUN'!K111</f>
        <v>362167.20000000007</v>
      </c>
      <c r="J13" s="117">
        <f>'OCCIDENTAL ENERO'!F111+'OCCIDENTAL ENERO'!H111</f>
        <v>278186.40000000002</v>
      </c>
      <c r="K13" s="117">
        <f>'OCCIDENTAL FEBRERO'!F111+'OCCIDENTAL FEBRERO'!H111</f>
        <v>278186.40000000002</v>
      </c>
      <c r="L13" s="117">
        <f>'HILTON TULUM'!F110+'HILTON TULUM'!G110+'HILTON TULUM'!H110</f>
        <v>278186.40000000002</v>
      </c>
      <c r="M13" s="117">
        <f>'GRAND FA LOS CABOS'!F101+'GRAND FA LOS CABOS'!H101</f>
        <v>214120</v>
      </c>
      <c r="N13" s="117">
        <f>'HARD ROCK LOS CABOS'!F111+'HARD ROCK LOS CABOS'!G111+'HARD ROCK LOS CABOS'!H111</f>
        <v>214120</v>
      </c>
      <c r="O13" s="117">
        <f>'PARADISSUS PALMA REAL'!F101+'PARADISSUS PALMA REAL'!H101</f>
        <v>173483.84</v>
      </c>
    </row>
    <row r="14" spans="1:15">
      <c r="B14" s="116" t="s">
        <v>30</v>
      </c>
      <c r="C14" s="117">
        <f>'BARCELO MAYA RIVIERA'!F101</f>
        <v>900000</v>
      </c>
      <c r="D14" s="117">
        <f>[12]COTIZACIÓN!F111+[12]COTIZACIÓN!G111+[12]COTIZACIÓN!H111</f>
        <v>0</v>
      </c>
      <c r="E14" s="117">
        <f>'HILTON CANCUN'!F119+'HILTON CANCUN'!G119+'HILTON CANCUN'!H119</f>
        <v>0</v>
      </c>
      <c r="F14" s="117">
        <f>' AVA CANCUN'!F113+' AVA CANCUN'!G113+' AVA CANCUN'!H113</f>
        <v>0</v>
      </c>
      <c r="G14" s="117">
        <f>'MOON PALACE CANCUN'!F108+'MOON PALACE CANCUN'!G108+'MOON PALACE CANCUN'!H108</f>
        <v>0</v>
      </c>
      <c r="H14" s="117">
        <f>'PARADISSUS CANCUN '!F116+'PARADISSUS CANCUN '!G116+'PARADISSUS CANCUN '!H116</f>
        <v>0</v>
      </c>
      <c r="I14" s="117">
        <f>'PARADISSUS PLAYA CARMEN'!F110+'PARADISSUS PLAYA CARMEN'!G110+'PARADISSUS PLAYA CARMEN'!H110</f>
        <v>0</v>
      </c>
      <c r="J14" s="117">
        <f>'OCCIDENTAL ENERO'!F113</f>
        <v>32400</v>
      </c>
      <c r="K14" s="117">
        <f>'OCCIDENTAL FEBRERO'!F113</f>
        <v>32400</v>
      </c>
      <c r="L14" s="117">
        <f>'HILTON TULUM'!F112+'HILTON TULUM'!G112+'HILTON TULUM'!H112</f>
        <v>0</v>
      </c>
      <c r="M14" s="117">
        <f>'GRAND FA LOS CABOS'!F103</f>
        <v>0</v>
      </c>
      <c r="N14" s="117">
        <f>'HARD ROCK LOS CABOS'!F113+'HARD ROCK LOS CABOS'!G113+'HARD ROCK LOS CABOS'!H113</f>
        <v>0</v>
      </c>
      <c r="O14" s="117">
        <f>'HARD ROCK LOS CABOS'!G113+'HARD ROCK LOS CABOS'!H113+'HARD ROCK LOS CABOS'!I113</f>
        <v>0</v>
      </c>
    </row>
    <row r="15" spans="1:15">
      <c r="B15" s="116" t="s">
        <v>31</v>
      </c>
      <c r="C15" s="117">
        <f>'BARCELO MAYA RIVIERA'!F122</f>
        <v>469970.02799999993</v>
      </c>
      <c r="D15" s="117">
        <f>'FA CONDESA CANCUN '!F126+'FA CONDESA CANCUN '!G126+'FA CONDESA CANCUN '!H126</f>
        <v>364165.19330999994</v>
      </c>
      <c r="E15" s="117">
        <f>'HILTON CANCUN'!F121+'HILTON CANCUN'!G121+'HILTON CANCUN'!H121</f>
        <v>416297.22599999991</v>
      </c>
      <c r="F15" s="117">
        <f>' AVA CANCUN'!F115+' AVA CANCUN'!G115+' AVA CANCUN'!H115</f>
        <v>423537.10199999996</v>
      </c>
      <c r="G15" s="117">
        <f>'MOON PALACE CANCUN'!F110+'MOON PALACE CANCUN'!G110+'MOON PALACE CANCUN'!H110</f>
        <v>886564.45200000005</v>
      </c>
      <c r="H15" s="117">
        <f>'PARADISSUS CANCUN '!F118</f>
        <v>369293.076</v>
      </c>
      <c r="I15" s="117">
        <f>'PARADISSUS PLAYA CARMEN'!F112</f>
        <v>384194.86319999996</v>
      </c>
      <c r="J15" s="117">
        <f>'OCCIDENTAL ENERO'!F115</f>
        <v>265974.76500000001</v>
      </c>
      <c r="K15" s="117">
        <f>'OCCIDENTAL FEBRERO'!F115</f>
        <v>273572.02019999997</v>
      </c>
      <c r="L15" s="117">
        <f>'HILTON TULUM'!F114</f>
        <v>367998.24</v>
      </c>
      <c r="M15" s="117">
        <f>'GRAND FA LOS CABOS'!F105</f>
        <v>369552.41999999993</v>
      </c>
      <c r="N15" s="117">
        <f>'HARD ROCK LOS CABOS'!F115</f>
        <v>398924.97360000003</v>
      </c>
      <c r="O15" s="117">
        <f>'PARADISSUS PALMA REAL'!F105</f>
        <v>664014.24</v>
      </c>
    </row>
    <row r="16" spans="1:15">
      <c r="B16" s="118" t="s">
        <v>32</v>
      </c>
      <c r="C16" s="117">
        <f>'BARCELO MAYA RIVIERA'!F123+'BARCELO MAYA RIVIERA'!G123+'BARCELO MAYA RIVIERA'!H123</f>
        <v>395470</v>
      </c>
      <c r="D16" s="117">
        <f>'FA CONDESA CANCUN '!F127+'FA CONDESA CANCUN '!G127+'FA CONDESA CANCUN '!H127</f>
        <v>371739.86749999993</v>
      </c>
      <c r="E16" s="117">
        <f>'HILTON CANCUN'!F122+'HILTON CANCUN'!G122+'HILTON CANCUN'!H122</f>
        <v>400805</v>
      </c>
      <c r="F16" s="117">
        <f>' AVA CANCUN'!F116+' AVA CANCUN'!G116+' AVA CANCUN'!H116</f>
        <v>439592.25</v>
      </c>
      <c r="G16" s="117">
        <f>'MOON PALACE CANCUN'!F111+'MOON PALACE CANCUN'!G111+'MOON PALACE CANCUN'!H111</f>
        <v>487431</v>
      </c>
      <c r="H16" s="117">
        <f>'PARADISSUS CANCUN '!F119+'PARADISSUS CANCUN '!G119+'PARADISSUS CANCUN '!H119</f>
        <v>398266.75</v>
      </c>
      <c r="I16" s="117">
        <f>'PARADISSUS PLAYA CARMEN'!F113+'PARADISSUS PLAYA CARMEN'!G113+'PARADISSUS PLAYA CARMEN'!H113</f>
        <v>422249.25</v>
      </c>
      <c r="J16" s="117">
        <f>'OCCIDENTAL ENERO'!F116+'OCCIDENTAL ENERO'!G116+'OCCIDENTAL ENERO'!H116</f>
        <v>311935</v>
      </c>
      <c r="K16" s="117">
        <f>'OCCIDENTAL FEBRERO'!F116+'OCCIDENTAL FEBRERO'!G116+'OCCIDENTAL FEBRERO'!H116</f>
        <v>316908.5</v>
      </c>
      <c r="L16" s="117">
        <f>'HILTON TULUM'!F115+'HILTON TULUM'!G115+'HILTON TULUM'!H115</f>
        <v>377108.75</v>
      </c>
      <c r="M16" s="117">
        <f>'GRAND FA LOS CABOS'!F106+'GRAND FA LOS CABOS'!H106</f>
        <v>391789.5</v>
      </c>
      <c r="N16" s="117">
        <f>'HARD ROCK LOS CABOS'!F116+'HARD ROCK LOS CABOS'!G116+'HARD ROCK LOS CABOS'!H116</f>
        <v>405656.75</v>
      </c>
      <c r="O16" s="117">
        <f>'PARADISSUS PALMA REAL'!F106</f>
        <v>602410</v>
      </c>
    </row>
    <row r="17" spans="2:15">
      <c r="B17" s="119" t="s">
        <v>33</v>
      </c>
      <c r="C17" s="120">
        <f>'BARCELO MAYA RIVIERA'!F124+'BARCELO MAYA RIVIERA'!G124+'BARCELO MAYA RIVIERA'!H124</f>
        <v>9368940.6279999968</v>
      </c>
      <c r="D17" s="120">
        <f>'FA CONDESA CANCUN '!F128+'FA CONDESA CANCUN '!G128+'FA CONDESA CANCUN '!H128</f>
        <v>7387360.0493099997</v>
      </c>
      <c r="E17" s="120">
        <f>'HILTON CANCUN'!F123+'HILTON CANCUN'!G123+'HILTON CANCUN'!H123</f>
        <v>8338855.4259999981</v>
      </c>
      <c r="F17" s="120">
        <f>' AVA CANCUN'!F117+' AVA CANCUN'!G117+' AVA CANCUN'!H117</f>
        <v>8392137.5119999982</v>
      </c>
      <c r="G17" s="120">
        <f>'MOON PALACE CANCUN'!F112+'MOON PALACE CANCUN'!G112+'MOON PALACE CANCUN'!H112</f>
        <v>16218246.712000001</v>
      </c>
      <c r="H17" s="120">
        <f>'PARADISSUS CANCUN '!F120+'PARADISSUS CANCUN '!G120+'PARADISSUS CANCUN '!H120</f>
        <v>7341844.2260000017</v>
      </c>
      <c r="I17" s="120">
        <f>SUM(I11:I16)</f>
        <v>7811886.7531999992</v>
      </c>
      <c r="J17" s="120">
        <f>'OCCIDENTAL ENERO'!F117+'OCCIDENTAL ENERO'!G117+'OCCIDENTAL ENERO'!H117</f>
        <v>5410525.7149999999</v>
      </c>
      <c r="K17" s="120">
        <f>'OCCIDENTAL FEBRERO'!F117+'OCCIDENTAL FEBRERO'!G117+'OCCIDENTAL FEBRERO'!H117</f>
        <v>5552865.4702000003</v>
      </c>
      <c r="L17" s="120">
        <f>'HILTON TULUM'!F116+'HILTON TULUM'!G116+'HILTON TULUM'!H116</f>
        <v>7444357.6399999997</v>
      </c>
      <c r="M17" s="120">
        <f>'GRAND FA LOS CABOS'!F107+'GRAND FA LOS CABOS'!H107</f>
        <v>7521272.2199999988</v>
      </c>
      <c r="N17" s="120">
        <f>'HARD ROCK LOS CABOS'!F117+'HARD ROCK LOS CABOS'!G117+'HARD ROCK LOS CABOS'!H117</f>
        <v>7820072.7836000007</v>
      </c>
      <c r="O17" s="120">
        <f>'PARADISSUS PALMA REAL'!F107</f>
        <v>12333328.24</v>
      </c>
    </row>
    <row r="18" spans="2:15">
      <c r="B18" s="121" t="s">
        <v>34</v>
      </c>
      <c r="C18" s="122">
        <f>'BARCELO MAYA RIVIERA'!F124+'BARCELO MAYA RIVIERA'!G124+'BARCELO MAYA RIVIERA'!H124+'BARCELO MAYA RIVIERA'!I124</f>
        <v>10845036.504479997</v>
      </c>
      <c r="D18" s="122">
        <f>'FA CONDESA CANCUN '!F128+'FA CONDESA CANCUN '!G128+'FA CONDESA CANCUN '!H128+'FA CONDESA CANCUN '!I128</f>
        <v>8552685.6571995988</v>
      </c>
      <c r="E18" s="122">
        <f>'HILTON CANCUN'!F123+'HILTON CANCUN'!G123+'HILTON CANCUN'!H123+'HILTON CANCUN'!I123</f>
        <v>9657694.310159998</v>
      </c>
      <c r="F18" s="122">
        <f>' AVA CANCUN'!F117+' AVA CANCUN'!G117+' AVA CANCUN'!H117+' AVA CANCUN'!I117</f>
        <v>9719876.8899199981</v>
      </c>
      <c r="G18" s="122">
        <f>'MOON PALACE CANCUN'!F112+'MOON PALACE CANCUN'!G112+'MOON PALACE CANCUN'!H112+'MOON PALACE CANCUN'!I112</f>
        <v>18804965.161920004</v>
      </c>
      <c r="H18" s="122">
        <f>'PARADISSUS CANCUN '!F120+'PARADISSUS CANCUN '!G120+'PARADISSUS CANCUN '!H120+'PARADISSUS CANCUN '!I120</f>
        <v>8410499.3021600023</v>
      </c>
      <c r="I18" s="122">
        <f>'PARADISSUS PLAYA CARMEN'!F114+'PARADISSUS PLAYA CARMEN'!G114+'PARADISSUS PLAYA CARMEN'!H114+'PARADISSUS PLAYA CARMEN'!I114</f>
        <v>8951465.881711999</v>
      </c>
      <c r="J18" s="122">
        <f>'OCCIDENTAL ENERO'!F117+'OCCIDENTAL ENERO'!G117+'OCCIDENTAL ENERO'!H117+'OCCIDENTAL ENERO'!I117</f>
        <v>6263764.8054</v>
      </c>
      <c r="K18" s="122">
        <f>'OCCIDENTAL FEBRERO'!F117+'OCCIDENTAL FEBRERO'!G117+'OCCIDENTAL FEBRERO'!H117+'OCCIDENTAL FEBRERO'!I117</f>
        <v>6428878.9214320006</v>
      </c>
      <c r="L18" s="122">
        <f>'HILTON TULUM'!F116+'HILTON TULUM'!G116+'HILTON TULUM'!H116+'HILTON TULUM'!I116</f>
        <v>8620755.8383999988</v>
      </c>
      <c r="M18" s="122">
        <f>'GRAND FA LOS CABOS'!F107+'GRAND FA LOS CABOS'!H107+'GRAND FA LOS CABOS'!I107</f>
        <v>8721991.3543999977</v>
      </c>
      <c r="N18" s="122">
        <f>'HARD ROCK LOS CABOS'!F117+'HARD ROCK LOS CABOS'!G117+'HARD ROCK LOS CABOS'!H117+'HARD ROCK LOS CABOS'!I117</f>
        <v>9061212.4289760012</v>
      </c>
      <c r="O18" s="122">
        <f>'PARADISSUS PALMA REAL'!F107+'PARADISSUS PALMA REAL'!I107</f>
        <v>14231273.5056</v>
      </c>
    </row>
    <row r="21" spans="2:15" ht="15" customHeight="1">
      <c r="B21" t="s">
        <v>35</v>
      </c>
    </row>
    <row r="22" spans="2:15" ht="15" customHeight="1">
      <c r="B22" t="s">
        <v>36</v>
      </c>
    </row>
    <row r="23" spans="2:15" ht="15" customHeight="1">
      <c r="B23" t="s">
        <v>37</v>
      </c>
    </row>
    <row r="24" spans="2:15" ht="15" customHeight="1">
      <c r="B24" t="s">
        <v>38</v>
      </c>
    </row>
    <row r="25" spans="2:15" ht="15" customHeight="1">
      <c r="B25" t="s">
        <v>39</v>
      </c>
    </row>
    <row r="26" spans="2:15" ht="15" customHeight="1">
      <c r="B26" t="s">
        <v>40</v>
      </c>
    </row>
    <row r="27" spans="2:15" ht="15" customHeight="1">
      <c r="B27" t="s">
        <v>41</v>
      </c>
    </row>
    <row r="28" spans="2:15" ht="15" customHeight="1">
      <c r="B28" t="s">
        <v>42</v>
      </c>
    </row>
    <row r="29" spans="2:15" ht="15" customHeight="1">
      <c r="B29" t="s">
        <v>43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AEDB-8CC9-4793-B2C3-656DE964FABC}">
  <sheetPr>
    <tabColor theme="0"/>
  </sheetPr>
  <dimension ref="A1:N120"/>
  <sheetViews>
    <sheetView topLeftCell="A98" zoomScale="90" zoomScaleNormal="90" workbookViewId="0">
      <selection activeCell="B13" sqref="B13:J13"/>
    </sheetView>
  </sheetViews>
  <sheetFormatPr defaultColWidth="8.85546875" defaultRowHeight="15"/>
  <cols>
    <col min="1" max="1" width="20.7109375" customWidth="1"/>
    <col min="2" max="2" width="49.140625" customWidth="1"/>
    <col min="3" max="3" width="10.5703125" customWidth="1"/>
    <col min="4" max="5" width="13.85546875" customWidth="1"/>
    <col min="6" max="6" width="16.85546875" customWidth="1"/>
    <col min="7" max="8" width="13.85546875" customWidth="1"/>
    <col min="9" max="9" width="15.28515625" bestFit="1" customWidth="1"/>
    <col min="10" max="10" width="19.28515625" customWidth="1"/>
  </cols>
  <sheetData>
    <row r="1" spans="1:10">
      <c r="A1" s="438" t="s">
        <v>44</v>
      </c>
      <c r="B1" s="439"/>
      <c r="C1" s="439"/>
      <c r="D1" s="439"/>
      <c r="E1" s="439"/>
      <c r="F1" s="439"/>
      <c r="G1" s="439"/>
      <c r="H1" s="439"/>
      <c r="I1" s="439"/>
      <c r="J1" s="440"/>
    </row>
    <row r="2" spans="1:10">
      <c r="A2" s="441"/>
      <c r="B2" s="442"/>
      <c r="C2" s="442"/>
      <c r="D2" s="442"/>
      <c r="E2" s="442"/>
      <c r="F2" s="442"/>
      <c r="G2" s="442"/>
      <c r="H2" s="442"/>
      <c r="I2" s="442"/>
      <c r="J2" s="443"/>
    </row>
    <row r="3" spans="1:10">
      <c r="A3" s="441"/>
      <c r="B3" s="442"/>
      <c r="C3" s="442"/>
      <c r="D3" s="442"/>
      <c r="E3" s="442"/>
      <c r="F3" s="442"/>
      <c r="G3" s="442"/>
      <c r="H3" s="442"/>
      <c r="I3" s="442"/>
      <c r="J3" s="443"/>
    </row>
    <row r="4" spans="1:10">
      <c r="A4" s="441"/>
      <c r="B4" s="442"/>
      <c r="C4" s="442"/>
      <c r="D4" s="442"/>
      <c r="E4" s="442"/>
      <c r="F4" s="442"/>
      <c r="G4" s="442"/>
      <c r="H4" s="442"/>
      <c r="I4" s="442"/>
      <c r="J4" s="443"/>
    </row>
    <row r="5" spans="1:10">
      <c r="A5" s="444"/>
      <c r="B5" s="445"/>
      <c r="C5" s="445"/>
      <c r="D5" s="445"/>
      <c r="E5" s="445"/>
      <c r="F5" s="445"/>
      <c r="G5" s="445"/>
      <c r="H5" s="445"/>
      <c r="I5" s="445"/>
      <c r="J5" s="446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 customHeight="1">
      <c r="A7" s="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75">
      <c r="A8" s="2" t="s">
        <v>46</v>
      </c>
      <c r="B8" s="448" t="s">
        <v>309</v>
      </c>
      <c r="C8" s="448"/>
      <c r="D8" s="448"/>
      <c r="E8" s="448"/>
      <c r="F8" s="448"/>
      <c r="G8" s="448"/>
      <c r="H8" s="448"/>
      <c r="I8" s="448"/>
      <c r="J8" s="448"/>
    </row>
    <row r="9" spans="1:10" ht="15.75">
      <c r="A9" s="2" t="s">
        <v>48</v>
      </c>
      <c r="B9" s="449" t="s">
        <v>295</v>
      </c>
      <c r="C9" s="449"/>
      <c r="D9" s="449"/>
      <c r="E9" s="449"/>
      <c r="F9" s="449"/>
      <c r="G9" s="449"/>
      <c r="H9" s="449"/>
      <c r="I9" s="449"/>
      <c r="J9" s="449"/>
    </row>
    <row r="10" spans="1:10" ht="15.75">
      <c r="A10" s="2" t="s">
        <v>50</v>
      </c>
      <c r="B10" s="450" t="s">
        <v>195</v>
      </c>
      <c r="C10" s="450"/>
      <c r="D10" s="450"/>
      <c r="E10" s="450"/>
      <c r="F10" s="450"/>
      <c r="G10" s="450"/>
      <c r="H10" s="450"/>
      <c r="I10" s="450"/>
      <c r="J10" s="450"/>
    </row>
    <row r="11" spans="1:10" ht="15.75">
      <c r="A11" s="2" t="s">
        <v>52</v>
      </c>
      <c r="B11" s="450" t="s">
        <v>53</v>
      </c>
      <c r="C11" s="450"/>
      <c r="D11" s="450"/>
      <c r="E11" s="450"/>
      <c r="F11" s="450"/>
      <c r="G11" s="450"/>
      <c r="H11" s="450"/>
      <c r="I11" s="450"/>
      <c r="J11" s="450"/>
    </row>
    <row r="12" spans="1:10" ht="15.6" customHeight="1">
      <c r="A12" s="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2" t="s">
        <v>56</v>
      </c>
      <c r="B13" s="450"/>
      <c r="C13" s="450"/>
      <c r="D13" s="450"/>
      <c r="E13" s="450"/>
      <c r="F13" s="450"/>
      <c r="G13" s="450"/>
      <c r="H13" s="450"/>
      <c r="I13" s="450"/>
      <c r="J13" s="450"/>
    </row>
    <row r="14" spans="1:10">
      <c r="A14" s="3" t="s">
        <v>57</v>
      </c>
      <c r="B14" s="4" t="s">
        <v>58</v>
      </c>
      <c r="C14" s="5" t="s">
        <v>59</v>
      </c>
      <c r="D14" s="6">
        <v>0</v>
      </c>
      <c r="E14" s="7"/>
      <c r="F14" s="451" t="s">
        <v>60</v>
      </c>
      <c r="G14" s="451"/>
      <c r="H14" s="452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>
      <c r="A17" s="431" t="s">
        <v>61</v>
      </c>
      <c r="B17" s="432"/>
      <c r="C17" s="7"/>
      <c r="D17" s="7"/>
      <c r="E17" s="7"/>
      <c r="F17" s="7"/>
      <c r="G17" s="7"/>
      <c r="H17" s="7"/>
      <c r="I17" s="7"/>
      <c r="J17" s="7"/>
    </row>
    <row r="18" spans="1:10">
      <c r="A18" s="78" t="s">
        <v>62</v>
      </c>
      <c r="B18" s="79" t="s">
        <v>13</v>
      </c>
      <c r="C18" s="80" t="s">
        <v>63</v>
      </c>
      <c r="D18" s="80" t="s">
        <v>64</v>
      </c>
      <c r="E18" s="80" t="s">
        <v>65</v>
      </c>
      <c r="F18" s="80" t="s">
        <v>66</v>
      </c>
      <c r="G18" s="80" t="s">
        <v>67</v>
      </c>
      <c r="H18" s="80" t="s">
        <v>68</v>
      </c>
      <c r="I18" s="80" t="s">
        <v>69</v>
      </c>
      <c r="J18" s="8" t="s">
        <v>70</v>
      </c>
    </row>
    <row r="19" spans="1:10" s="41" customFormat="1">
      <c r="A19" s="427" t="s">
        <v>71</v>
      </c>
      <c r="B19" s="70" t="s">
        <v>72</v>
      </c>
      <c r="C19" s="72">
        <v>5</v>
      </c>
      <c r="D19" s="74">
        <v>5790.89</v>
      </c>
      <c r="E19" s="72">
        <v>1</v>
      </c>
      <c r="F19" s="74">
        <f>SUM(C19*D19*E19)</f>
        <v>28954.45</v>
      </c>
      <c r="G19" s="74">
        <f>143.57*C19*E19</f>
        <v>717.84999999999991</v>
      </c>
      <c r="H19" s="74">
        <f>152*C19*E19</f>
        <v>760</v>
      </c>
      <c r="I19" s="74">
        <f>(F19+G19+H19)*16%</f>
        <v>4869.1679999999997</v>
      </c>
      <c r="J19" s="81">
        <f>I19+H19+G19+F19</f>
        <v>35301.468000000001</v>
      </c>
    </row>
    <row r="20" spans="1:10" s="41" customFormat="1">
      <c r="A20" s="429"/>
      <c r="B20" s="14" t="s">
        <v>73</v>
      </c>
      <c r="C20" s="15">
        <v>5</v>
      </c>
      <c r="D20" s="16">
        <v>36</v>
      </c>
      <c r="E20" s="15">
        <v>1</v>
      </c>
      <c r="F20" s="16"/>
      <c r="G20" s="16"/>
      <c r="H20" s="16">
        <f>E20*D20*C20</f>
        <v>180</v>
      </c>
      <c r="I20" s="16">
        <v>0</v>
      </c>
      <c r="J20" s="17">
        <f t="shared" ref="J20:J25" si="0">I20+H20+G20+F20</f>
        <v>180</v>
      </c>
    </row>
    <row r="21" spans="1:10" s="41" customFormat="1" ht="14.45" customHeight="1">
      <c r="A21" s="427" t="s">
        <v>74</v>
      </c>
      <c r="B21" s="46" t="s">
        <v>72</v>
      </c>
      <c r="C21" s="47">
        <v>30</v>
      </c>
      <c r="D21" s="48">
        <v>5790.89</v>
      </c>
      <c r="E21" s="47">
        <v>3</v>
      </c>
      <c r="F21" s="48">
        <f>SUM(C21*D21*E21)</f>
        <v>521180.10000000003</v>
      </c>
      <c r="G21" s="74">
        <f>143.57*C21*E21</f>
        <v>12921.3</v>
      </c>
      <c r="H21" s="74">
        <f>152*C21*E21</f>
        <v>13680</v>
      </c>
      <c r="I21" s="74">
        <f>(F21+G21+H21)*16%</f>
        <v>87645.024000000005</v>
      </c>
      <c r="J21" s="49">
        <f>I21+H21+G21+F21</f>
        <v>635426.424</v>
      </c>
    </row>
    <row r="22" spans="1:10" s="41" customFormat="1">
      <c r="A22" s="428"/>
      <c r="B22" s="9" t="s">
        <v>73</v>
      </c>
      <c r="C22" s="10">
        <v>30</v>
      </c>
      <c r="D22" s="11">
        <v>36</v>
      </c>
      <c r="E22" s="10">
        <v>3</v>
      </c>
      <c r="F22" s="11"/>
      <c r="G22" s="11"/>
      <c r="H22" s="11">
        <f>E22*D22*C22</f>
        <v>3240</v>
      </c>
      <c r="I22" s="11">
        <v>0</v>
      </c>
      <c r="J22" s="12">
        <f t="shared" ref="J22" si="1">I22+H22+G22+F22</f>
        <v>3240</v>
      </c>
    </row>
    <row r="23" spans="1:10" s="41" customFormat="1" ht="14.45" customHeight="1">
      <c r="A23" s="428"/>
      <c r="B23" s="70" t="s">
        <v>155</v>
      </c>
      <c r="C23" s="72">
        <v>190</v>
      </c>
      <c r="D23" s="74">
        <v>5719.14</v>
      </c>
      <c r="E23" s="72">
        <v>3</v>
      </c>
      <c r="F23" s="74">
        <f>SUM(C23*D23*E23)</f>
        <v>3259909.8000000003</v>
      </c>
      <c r="G23" s="74">
        <f>141.8*C23*E23</f>
        <v>80826.000000000015</v>
      </c>
      <c r="H23" s="74">
        <f>304*C23*E23</f>
        <v>173280</v>
      </c>
      <c r="I23" s="74">
        <f>(F23+G23+H23)*16%</f>
        <v>562242.52800000005</v>
      </c>
      <c r="J23" s="81">
        <f t="shared" si="0"/>
        <v>4076258.3280000002</v>
      </c>
    </row>
    <row r="24" spans="1:10" s="41" customFormat="1">
      <c r="A24" s="428"/>
      <c r="B24" s="42" t="s">
        <v>73</v>
      </c>
      <c r="C24" s="43">
        <v>190</v>
      </c>
      <c r="D24" s="44">
        <v>59</v>
      </c>
      <c r="E24" s="43">
        <v>3</v>
      </c>
      <c r="F24" s="44"/>
      <c r="G24" s="44"/>
      <c r="H24" s="44">
        <f>E24*D24*C24</f>
        <v>33630</v>
      </c>
      <c r="I24" s="44">
        <v>0</v>
      </c>
      <c r="J24" s="45">
        <f t="shared" si="0"/>
        <v>33630</v>
      </c>
    </row>
    <row r="25" spans="1:10" s="41" customFormat="1" ht="27.6" customHeight="1">
      <c r="A25" s="429"/>
      <c r="B25" s="99" t="s">
        <v>76</v>
      </c>
      <c r="C25" s="100">
        <v>-4</v>
      </c>
      <c r="D25" s="101">
        <v>-5790.89</v>
      </c>
      <c r="E25" s="100">
        <v>-3</v>
      </c>
      <c r="F25" s="101">
        <f>SUM(C25*D25*E25)</f>
        <v>-69490.680000000008</v>
      </c>
      <c r="G25" s="248">
        <f>-143.57*C25*E25</f>
        <v>-1722.84</v>
      </c>
      <c r="H25" s="248">
        <f>-152*C25*E25</f>
        <v>-1824</v>
      </c>
      <c r="I25" s="248">
        <f>(F25+G25+H25)*16%</f>
        <v>-11686.003200000001</v>
      </c>
      <c r="J25" s="102">
        <f t="shared" si="0"/>
        <v>-84723.523200000011</v>
      </c>
    </row>
    <row r="26" spans="1:10" s="41" customFormat="1" ht="27.6" customHeight="1">
      <c r="A26" s="418"/>
      <c r="B26" s="172" t="s">
        <v>77</v>
      </c>
      <c r="C26" s="173">
        <v>1</v>
      </c>
      <c r="D26" s="174">
        <v>50000</v>
      </c>
      <c r="E26" s="173">
        <v>1</v>
      </c>
      <c r="F26" s="174">
        <f>SUM(C26*D26*E26)</f>
        <v>50000</v>
      </c>
      <c r="G26" s="174">
        <f>143.57*C26*E26</f>
        <v>143.57</v>
      </c>
      <c r="H26" s="174">
        <f>152*C26*E26</f>
        <v>152</v>
      </c>
      <c r="I26" s="174">
        <f>(F26+G26+H26)*16%</f>
        <v>8047.2912000000006</v>
      </c>
      <c r="J26" s="175">
        <f>I26+H26+G26+F26</f>
        <v>58342.861199999999</v>
      </c>
    </row>
    <row r="27" spans="1:10">
      <c r="A27" s="18"/>
      <c r="B27" s="19" t="s">
        <v>78</v>
      </c>
      <c r="C27" s="20"/>
      <c r="D27" s="21"/>
      <c r="E27" s="20"/>
      <c r="F27" s="22">
        <f>SUM(F19:F26)</f>
        <v>3790553.6700000004</v>
      </c>
      <c r="G27" s="22">
        <f>SUM(G19:G26)</f>
        <v>92885.880000000019</v>
      </c>
      <c r="H27" s="22">
        <f>SUM(H19:H26)</f>
        <v>223098</v>
      </c>
      <c r="I27" s="22">
        <f>SUM(I19:I26)</f>
        <v>651118.00800000003</v>
      </c>
      <c r="J27" s="22">
        <f>SUM(J19:J26)</f>
        <v>4757655.5580000011</v>
      </c>
    </row>
    <row r="28" spans="1:10">
      <c r="A28" s="23"/>
      <c r="B28" s="28" t="s">
        <v>79</v>
      </c>
      <c r="C28" s="82"/>
      <c r="D28" s="83"/>
      <c r="E28" s="82"/>
      <c r="F28" s="83">
        <f>F27</f>
        <v>3790553.6700000004</v>
      </c>
      <c r="G28" s="83">
        <f t="shared" ref="G28:J28" si="2">G27</f>
        <v>92885.880000000019</v>
      </c>
      <c r="H28" s="83">
        <f t="shared" si="2"/>
        <v>223098</v>
      </c>
      <c r="I28" s="83">
        <f t="shared" si="2"/>
        <v>651118.00800000003</v>
      </c>
      <c r="J28" s="83">
        <f t="shared" si="2"/>
        <v>4757655.5580000011</v>
      </c>
    </row>
    <row r="29" spans="1:10">
      <c r="A29" s="18"/>
      <c r="B29" s="29"/>
      <c r="C29" s="20"/>
      <c r="D29" s="30"/>
      <c r="E29" s="20"/>
      <c r="F29" s="30"/>
      <c r="G29" s="30"/>
      <c r="H29" s="30"/>
      <c r="I29" s="30"/>
      <c r="J29" s="30"/>
    </row>
    <row r="30" spans="1:10">
      <c r="A30" s="18"/>
      <c r="B30" s="29"/>
      <c r="C30" s="20"/>
      <c r="D30" s="30"/>
      <c r="E30" s="20"/>
      <c r="F30" s="30"/>
      <c r="G30" s="30"/>
      <c r="H30" s="30"/>
      <c r="I30" s="30"/>
      <c r="J30" s="30"/>
    </row>
    <row r="31" spans="1:10">
      <c r="A31" s="431" t="s">
        <v>80</v>
      </c>
      <c r="B31" s="432"/>
      <c r="C31" s="7"/>
      <c r="D31" s="7"/>
      <c r="E31" s="7"/>
      <c r="F31" s="7"/>
      <c r="G31" s="7"/>
      <c r="H31" s="7"/>
      <c r="I31" s="7"/>
      <c r="J31" s="7"/>
    </row>
    <row r="32" spans="1:10">
      <c r="A32" s="78" t="s">
        <v>62</v>
      </c>
      <c r="B32" s="79" t="s">
        <v>13</v>
      </c>
      <c r="C32" s="80" t="s">
        <v>63</v>
      </c>
      <c r="D32" s="80" t="s">
        <v>64</v>
      </c>
      <c r="E32" s="80" t="s">
        <v>65</v>
      </c>
      <c r="F32" s="80" t="s">
        <v>66</v>
      </c>
      <c r="G32" s="80" t="s">
        <v>27</v>
      </c>
      <c r="H32" s="80" t="s">
        <v>68</v>
      </c>
      <c r="I32" s="80" t="s">
        <v>69</v>
      </c>
      <c r="J32" s="8" t="s">
        <v>70</v>
      </c>
    </row>
    <row r="33" spans="1:10" s="41" customFormat="1" ht="36.75">
      <c r="A33" s="434" t="s">
        <v>71</v>
      </c>
      <c r="B33" s="128" t="s">
        <v>81</v>
      </c>
      <c r="C33" s="72">
        <v>5</v>
      </c>
      <c r="D33" s="71">
        <v>0</v>
      </c>
      <c r="E33" s="72">
        <v>1</v>
      </c>
      <c r="F33" s="74">
        <f t="shared" ref="F33:F39" si="3">SUM(C33*D33*E33)</f>
        <v>0</v>
      </c>
      <c r="G33" s="71"/>
      <c r="H33" s="71">
        <f t="shared" ref="H33:H36" si="4">F33*15%</f>
        <v>0</v>
      </c>
      <c r="I33" s="71">
        <f t="shared" ref="I33:I36" si="5">(F33*16%)+(H33*16%)</f>
        <v>0</v>
      </c>
      <c r="J33" s="73">
        <f t="shared" ref="J33:J39" si="6">I33+H33+G33+F33</f>
        <v>0</v>
      </c>
    </row>
    <row r="34" spans="1:10" s="41" customFormat="1">
      <c r="A34" s="436"/>
      <c r="B34" s="126" t="s">
        <v>82</v>
      </c>
      <c r="C34" s="57">
        <v>5</v>
      </c>
      <c r="D34" s="58">
        <v>0</v>
      </c>
      <c r="E34" s="57">
        <v>1</v>
      </c>
      <c r="F34" s="59">
        <f t="shared" si="3"/>
        <v>0</v>
      </c>
      <c r="G34" s="58"/>
      <c r="H34" s="58">
        <f t="shared" si="4"/>
        <v>0</v>
      </c>
      <c r="I34" s="58">
        <f t="shared" si="5"/>
        <v>0</v>
      </c>
      <c r="J34" s="60">
        <f t="shared" si="6"/>
        <v>0</v>
      </c>
    </row>
    <row r="35" spans="1:10" s="41" customFormat="1" ht="36.75">
      <c r="A35" s="435" t="s">
        <v>83</v>
      </c>
      <c r="B35" s="260" t="s">
        <v>84</v>
      </c>
      <c r="C35" s="10">
        <v>5</v>
      </c>
      <c r="D35" s="31">
        <v>0</v>
      </c>
      <c r="E35" s="10">
        <v>1</v>
      </c>
      <c r="F35" s="48">
        <f t="shared" si="3"/>
        <v>0</v>
      </c>
      <c r="G35" s="31"/>
      <c r="H35" s="31">
        <f t="shared" si="4"/>
        <v>0</v>
      </c>
      <c r="I35" s="31">
        <f t="shared" si="5"/>
        <v>0</v>
      </c>
      <c r="J35" s="32">
        <f t="shared" si="6"/>
        <v>0</v>
      </c>
    </row>
    <row r="36" spans="1:10" s="41" customFormat="1" ht="24.75">
      <c r="A36" s="437"/>
      <c r="B36" s="260" t="s">
        <v>85</v>
      </c>
      <c r="C36" s="10">
        <v>410</v>
      </c>
      <c r="D36" s="31">
        <v>0</v>
      </c>
      <c r="E36" s="10">
        <v>1</v>
      </c>
      <c r="F36" s="48">
        <f t="shared" si="3"/>
        <v>0</v>
      </c>
      <c r="G36" s="31"/>
      <c r="H36" s="31">
        <f t="shared" si="4"/>
        <v>0</v>
      </c>
      <c r="I36" s="31">
        <f t="shared" si="5"/>
        <v>0</v>
      </c>
      <c r="J36" s="32">
        <f t="shared" si="6"/>
        <v>0</v>
      </c>
    </row>
    <row r="37" spans="1:10" s="41" customFormat="1" ht="60.75" customHeight="1">
      <c r="A37" s="437"/>
      <c r="B37" s="129" t="s">
        <v>296</v>
      </c>
      <c r="C37" s="10">
        <v>410</v>
      </c>
      <c r="D37" s="31">
        <v>0</v>
      </c>
      <c r="E37" s="10">
        <v>1</v>
      </c>
      <c r="F37" s="48">
        <f t="shared" si="3"/>
        <v>0</v>
      </c>
      <c r="G37" s="31"/>
      <c r="H37" s="31">
        <f>F37*15%</f>
        <v>0</v>
      </c>
      <c r="I37" s="31">
        <f>(F37*16%)+(H37*16%)</f>
        <v>0</v>
      </c>
      <c r="J37" s="32">
        <f t="shared" si="6"/>
        <v>0</v>
      </c>
    </row>
    <row r="38" spans="1:10" s="41" customFormat="1" ht="61.5">
      <c r="A38" s="437"/>
      <c r="B38" s="268" t="s">
        <v>268</v>
      </c>
      <c r="C38" s="43">
        <v>410</v>
      </c>
      <c r="D38" s="245">
        <v>313</v>
      </c>
      <c r="E38" s="43">
        <v>0</v>
      </c>
      <c r="F38" s="54">
        <f t="shared" si="3"/>
        <v>0</v>
      </c>
      <c r="G38" s="63"/>
      <c r="H38" s="63">
        <f>F38*15%</f>
        <v>0</v>
      </c>
      <c r="I38" s="63">
        <f>(F38*16%)+(H38*16%)</f>
        <v>0</v>
      </c>
      <c r="J38" s="64">
        <f t="shared" si="6"/>
        <v>0</v>
      </c>
    </row>
    <row r="39" spans="1:10" s="41" customFormat="1" ht="41.25" customHeight="1">
      <c r="A39" s="437"/>
      <c r="B39" s="267" t="s">
        <v>297</v>
      </c>
      <c r="C39" s="43">
        <v>410</v>
      </c>
      <c r="D39" s="63">
        <v>0</v>
      </c>
      <c r="E39" s="43">
        <v>1</v>
      </c>
      <c r="F39" s="44">
        <f t="shared" si="3"/>
        <v>0</v>
      </c>
      <c r="G39" s="63"/>
      <c r="H39" s="63">
        <f t="shared" ref="H39:H40" si="7">F39*15%</f>
        <v>0</v>
      </c>
      <c r="I39" s="63">
        <f t="shared" ref="I39:I40" si="8">(F39*16%)+(H39*16%)</f>
        <v>0</v>
      </c>
      <c r="J39" s="64">
        <f t="shared" si="6"/>
        <v>0</v>
      </c>
    </row>
    <row r="40" spans="1:10" s="41" customFormat="1" ht="37.5" customHeight="1">
      <c r="A40" s="437"/>
      <c r="B40" s="272" t="s">
        <v>298</v>
      </c>
      <c r="C40" s="43">
        <v>410</v>
      </c>
      <c r="D40" s="63">
        <v>810</v>
      </c>
      <c r="E40" s="43">
        <v>1</v>
      </c>
      <c r="F40" s="44">
        <f t="shared" ref="F40" si="9">SUM(C40*D40*E40)</f>
        <v>332100</v>
      </c>
      <c r="G40" s="63"/>
      <c r="H40" s="63">
        <f t="shared" si="7"/>
        <v>49815</v>
      </c>
      <c r="I40" s="63">
        <f t="shared" si="8"/>
        <v>61106.400000000001</v>
      </c>
      <c r="J40" s="64">
        <f t="shared" ref="J40" si="10">I40+H40+G40+F40</f>
        <v>443021.4</v>
      </c>
    </row>
    <row r="41" spans="1:10" s="41" customFormat="1" ht="25.5" customHeight="1">
      <c r="A41" s="437"/>
      <c r="B41" s="131" t="s">
        <v>299</v>
      </c>
      <c r="C41" s="43">
        <v>77</v>
      </c>
      <c r="D41" s="63">
        <v>900</v>
      </c>
      <c r="E41" s="43">
        <v>1</v>
      </c>
      <c r="F41" s="44">
        <f t="shared" ref="F41" si="11">SUM(C41*D41*E41)</f>
        <v>69300</v>
      </c>
      <c r="G41" s="63"/>
      <c r="H41" s="63">
        <f t="shared" ref="H41" si="12">F41*15%</f>
        <v>10395</v>
      </c>
      <c r="I41" s="63">
        <f t="shared" ref="I41" si="13">(F41*16%)+(H41*16%)</f>
        <v>12751.2</v>
      </c>
      <c r="J41" s="64">
        <f t="shared" ref="J41" si="14">I41+H41+G41+F41</f>
        <v>92446.2</v>
      </c>
    </row>
    <row r="42" spans="1:10" s="41" customFormat="1">
      <c r="A42" s="434" t="s">
        <v>92</v>
      </c>
      <c r="B42" s="128" t="s">
        <v>93</v>
      </c>
      <c r="C42" s="72">
        <v>410</v>
      </c>
      <c r="D42" s="71">
        <v>0</v>
      </c>
      <c r="E42" s="72">
        <v>1</v>
      </c>
      <c r="F42" s="74">
        <f>SUM(C42*D42*E42)</f>
        <v>0</v>
      </c>
      <c r="G42" s="71"/>
      <c r="H42" s="71">
        <f>F42*15%</f>
        <v>0</v>
      </c>
      <c r="I42" s="71">
        <f>(F42*16%)+(H42*16%)</f>
        <v>0</v>
      </c>
      <c r="J42" s="73">
        <f>I42+H42+G42+F42</f>
        <v>0</v>
      </c>
    </row>
    <row r="43" spans="1:10" s="41" customFormat="1" ht="57.75" customHeight="1">
      <c r="A43" s="437"/>
      <c r="B43" s="129" t="s">
        <v>300</v>
      </c>
      <c r="C43" s="10">
        <v>410</v>
      </c>
      <c r="D43" s="31">
        <v>0</v>
      </c>
      <c r="E43" s="10">
        <v>1</v>
      </c>
      <c r="F43" s="48">
        <f t="shared" ref="F43:F48" si="15">SUM(C43*D43*E43)</f>
        <v>0</v>
      </c>
      <c r="G43" s="31"/>
      <c r="H43" s="31">
        <f>F43*15%</f>
        <v>0</v>
      </c>
      <c r="I43" s="31">
        <f>(F43*16%)+(H43*16%)</f>
        <v>0</v>
      </c>
      <c r="J43" s="32">
        <f t="shared" ref="J43:J48" si="16">I43+H43+G43+F43</f>
        <v>0</v>
      </c>
    </row>
    <row r="44" spans="1:10" s="41" customFormat="1" ht="61.5" customHeight="1">
      <c r="A44" s="437"/>
      <c r="B44" s="129" t="s">
        <v>301</v>
      </c>
      <c r="C44" s="183">
        <v>8</v>
      </c>
      <c r="D44" s="184">
        <v>215</v>
      </c>
      <c r="E44" s="183">
        <v>1</v>
      </c>
      <c r="F44" s="48">
        <f>SUM(C44*D44*E44)</f>
        <v>1720</v>
      </c>
      <c r="G44" s="31"/>
      <c r="H44" s="31">
        <f>F44*15%</f>
        <v>258</v>
      </c>
      <c r="I44" s="31">
        <f>(F44*16%)+(H44*16%)</f>
        <v>316.48</v>
      </c>
      <c r="J44" s="32">
        <f>I44+H44+G44+F44</f>
        <v>2294.48</v>
      </c>
    </row>
    <row r="45" spans="1:10" s="41" customFormat="1" ht="78.75" customHeight="1">
      <c r="A45" s="437"/>
      <c r="B45" s="268" t="s">
        <v>272</v>
      </c>
      <c r="C45" s="43">
        <v>410</v>
      </c>
      <c r="D45" s="245">
        <v>313</v>
      </c>
      <c r="E45" s="43">
        <v>0</v>
      </c>
      <c r="F45" s="48"/>
      <c r="G45" s="31"/>
      <c r="H45" s="31"/>
      <c r="I45" s="31"/>
      <c r="J45" s="32"/>
    </row>
    <row r="46" spans="1:10" s="41" customFormat="1" ht="24.75">
      <c r="A46" s="437"/>
      <c r="B46" s="260" t="s">
        <v>95</v>
      </c>
      <c r="C46" s="10">
        <v>410</v>
      </c>
      <c r="D46" s="31">
        <v>0</v>
      </c>
      <c r="E46" s="10">
        <v>1</v>
      </c>
      <c r="F46" s="48">
        <f t="shared" ref="F46" si="17">SUM(C46*D46*E46)</f>
        <v>0</v>
      </c>
      <c r="G46" s="31"/>
      <c r="H46" s="31">
        <f t="shared" ref="H46" si="18">F46*15%</f>
        <v>0</v>
      </c>
      <c r="I46" s="31">
        <f t="shared" ref="I46" si="19">(F46*16%)+(H46*16%)</f>
        <v>0</v>
      </c>
      <c r="J46" s="32">
        <f t="shared" ref="J46" si="20">I46+H46+G46+F46</f>
        <v>0</v>
      </c>
    </row>
    <row r="47" spans="1:10" s="41" customFormat="1" ht="61.5">
      <c r="A47" s="437"/>
      <c r="B47" s="268" t="s">
        <v>268</v>
      </c>
      <c r="C47" s="43">
        <v>410</v>
      </c>
      <c r="D47" s="245">
        <v>313</v>
      </c>
      <c r="E47" s="43">
        <v>0</v>
      </c>
      <c r="F47" s="48"/>
      <c r="G47" s="31"/>
      <c r="H47" s="31"/>
      <c r="I47" s="31"/>
      <c r="J47" s="32"/>
    </row>
    <row r="48" spans="1:10" s="41" customFormat="1" ht="49.9" customHeight="1">
      <c r="A48" s="437"/>
      <c r="B48" s="261" t="s">
        <v>97</v>
      </c>
      <c r="C48" s="43">
        <v>410</v>
      </c>
      <c r="D48" s="63">
        <v>0</v>
      </c>
      <c r="E48" s="43">
        <v>1</v>
      </c>
      <c r="F48" s="11">
        <f t="shared" si="15"/>
        <v>0</v>
      </c>
      <c r="G48" s="31"/>
      <c r="H48" s="31">
        <f t="shared" ref="H48" si="21">F48*15%</f>
        <v>0</v>
      </c>
      <c r="I48" s="31">
        <f t="shared" ref="I48" si="22">(F48*16%)+(H48*16%)</f>
        <v>0</v>
      </c>
      <c r="J48" s="32">
        <f t="shared" si="16"/>
        <v>0</v>
      </c>
    </row>
    <row r="49" spans="1:10" s="41" customFormat="1">
      <c r="A49" s="434" t="s">
        <v>98</v>
      </c>
      <c r="B49" s="262" t="s">
        <v>168</v>
      </c>
      <c r="C49" s="72">
        <v>410</v>
      </c>
      <c r="D49" s="71">
        <v>0</v>
      </c>
      <c r="E49" s="72"/>
      <c r="F49" s="74">
        <f>SUM(C49*D49*E49)</f>
        <v>0</v>
      </c>
      <c r="G49" s="71"/>
      <c r="H49" s="71">
        <f>F49*15%</f>
        <v>0</v>
      </c>
      <c r="I49" s="71">
        <f>(F49*16%)+(H49*16%)</f>
        <v>0</v>
      </c>
      <c r="J49" s="73">
        <f>I49+H49+G49+F49</f>
        <v>0</v>
      </c>
    </row>
    <row r="50" spans="1:10" s="41" customFormat="1" ht="58.5" customHeight="1">
      <c r="A50" s="435"/>
      <c r="B50" s="129" t="s">
        <v>296</v>
      </c>
      <c r="C50" s="10">
        <v>410</v>
      </c>
      <c r="D50" s="31">
        <v>0</v>
      </c>
      <c r="E50" s="10">
        <v>1</v>
      </c>
      <c r="F50" s="11">
        <f t="shared" ref="F50:F55" si="23">SUM(C50*D50*E50)</f>
        <v>0</v>
      </c>
      <c r="G50" s="31"/>
      <c r="H50" s="31">
        <f t="shared" ref="H50:H55" si="24">F50*15%</f>
        <v>0</v>
      </c>
      <c r="I50" s="31">
        <f t="shared" ref="I50:I55" si="25">(F50*16%)+(H50*16%)</f>
        <v>0</v>
      </c>
      <c r="J50" s="32">
        <f t="shared" ref="J50:J55" si="26">I50+H50+G50+F50</f>
        <v>0</v>
      </c>
    </row>
    <row r="51" spans="1:10" s="41" customFormat="1" ht="58.5" customHeight="1">
      <c r="A51" s="435"/>
      <c r="B51" s="129" t="s">
        <v>301</v>
      </c>
      <c r="C51" s="183">
        <v>8</v>
      </c>
      <c r="D51" s="184">
        <v>215</v>
      </c>
      <c r="E51" s="183">
        <v>1</v>
      </c>
      <c r="F51" s="209">
        <f>SUM(C51*D51*E51)</f>
        <v>1720</v>
      </c>
      <c r="G51" s="31"/>
      <c r="H51" s="31">
        <f>F51*15%</f>
        <v>258</v>
      </c>
      <c r="I51" s="31">
        <f>(F51*16%)+(H51*16%)</f>
        <v>316.48</v>
      </c>
      <c r="J51" s="32">
        <f>I51+H51+G51+F51</f>
        <v>2294.48</v>
      </c>
    </row>
    <row r="52" spans="1:10" s="41" customFormat="1" ht="61.5">
      <c r="A52" s="435"/>
      <c r="B52" s="268" t="s">
        <v>272</v>
      </c>
      <c r="C52" s="43">
        <v>410</v>
      </c>
      <c r="D52" s="245">
        <v>313</v>
      </c>
      <c r="E52" s="43">
        <v>0</v>
      </c>
      <c r="F52" s="11">
        <f t="shared" si="23"/>
        <v>0</v>
      </c>
      <c r="G52" s="31"/>
      <c r="H52" s="31">
        <f t="shared" si="24"/>
        <v>0</v>
      </c>
      <c r="I52" s="31">
        <f t="shared" si="25"/>
        <v>0</v>
      </c>
      <c r="J52" s="32">
        <f t="shared" si="26"/>
        <v>0</v>
      </c>
    </row>
    <row r="53" spans="1:10" s="41" customFormat="1" ht="24.75">
      <c r="A53" s="435"/>
      <c r="B53" s="260" t="s">
        <v>85</v>
      </c>
      <c r="C53" s="10">
        <v>410</v>
      </c>
      <c r="D53" s="31">
        <v>0</v>
      </c>
      <c r="E53" s="10">
        <v>1</v>
      </c>
      <c r="F53" s="11">
        <f t="shared" si="23"/>
        <v>0</v>
      </c>
      <c r="G53" s="31"/>
      <c r="H53" s="31">
        <f t="shared" si="24"/>
        <v>0</v>
      </c>
      <c r="I53" s="31">
        <f t="shared" si="25"/>
        <v>0</v>
      </c>
      <c r="J53" s="32">
        <f t="shared" si="26"/>
        <v>0</v>
      </c>
    </row>
    <row r="54" spans="1:10" s="41" customFormat="1" ht="36.75">
      <c r="A54" s="435"/>
      <c r="B54" s="131" t="s">
        <v>302</v>
      </c>
      <c r="C54" s="10">
        <v>410</v>
      </c>
      <c r="D54" s="31">
        <v>0</v>
      </c>
      <c r="E54" s="10">
        <v>1</v>
      </c>
      <c r="F54" s="11">
        <f>SUM(C54*D54*E54)</f>
        <v>0</v>
      </c>
      <c r="G54" s="31"/>
      <c r="H54" s="31">
        <f>F54*15%</f>
        <v>0</v>
      </c>
      <c r="I54" s="31">
        <f>(F54*16%)+(H54*16%)</f>
        <v>0</v>
      </c>
      <c r="J54" s="32">
        <f>I54+H54+G54+F54</f>
        <v>0</v>
      </c>
    </row>
    <row r="55" spans="1:10" s="41" customFormat="1" ht="23.25" customHeight="1">
      <c r="A55" s="435"/>
      <c r="B55" s="271" t="s">
        <v>299</v>
      </c>
      <c r="C55" s="186">
        <v>77</v>
      </c>
      <c r="D55" s="187">
        <v>900</v>
      </c>
      <c r="E55" s="186">
        <v>1</v>
      </c>
      <c r="F55" s="187">
        <f t="shared" si="23"/>
        <v>69300</v>
      </c>
      <c r="G55" s="187"/>
      <c r="H55" s="187">
        <f t="shared" si="24"/>
        <v>10395</v>
      </c>
      <c r="I55" s="187">
        <f t="shared" si="25"/>
        <v>12751.2</v>
      </c>
      <c r="J55" s="188">
        <f t="shared" si="26"/>
        <v>92446.2</v>
      </c>
    </row>
    <row r="56" spans="1:10" s="41" customFormat="1">
      <c r="A56" s="75" t="s">
        <v>101</v>
      </c>
      <c r="B56" s="263" t="s">
        <v>93</v>
      </c>
      <c r="C56" s="57">
        <v>410</v>
      </c>
      <c r="D56" s="58">
        <v>0</v>
      </c>
      <c r="E56" s="57">
        <v>1</v>
      </c>
      <c r="F56" s="59">
        <f>SUM(C56*D56*E56)</f>
        <v>0</v>
      </c>
      <c r="G56" s="58"/>
      <c r="H56" s="58">
        <f>F56*15%</f>
        <v>0</v>
      </c>
      <c r="I56" s="58">
        <f>(F56*16%)+(H56*16%)</f>
        <v>0</v>
      </c>
      <c r="J56" s="60">
        <f>I56+H56+G56+F56</f>
        <v>0</v>
      </c>
    </row>
    <row r="57" spans="1:10">
      <c r="A57" s="18"/>
      <c r="B57" s="19" t="s">
        <v>78</v>
      </c>
      <c r="C57" s="20"/>
      <c r="D57" s="21"/>
      <c r="E57" s="20"/>
      <c r="F57" s="22">
        <f>SUM(F33:F56)</f>
        <v>474140</v>
      </c>
      <c r="G57" s="22">
        <f>SUM(G33:G56)</f>
        <v>0</v>
      </c>
      <c r="H57" s="22">
        <f>SUM(H33:H56)</f>
        <v>71121</v>
      </c>
      <c r="I57" s="22">
        <f>SUM(I33:I56)</f>
        <v>87241.76</v>
      </c>
      <c r="J57" s="22">
        <f>SUM(J33:J56)</f>
        <v>632502.75999999989</v>
      </c>
    </row>
    <row r="58" spans="1:10">
      <c r="A58" s="23"/>
      <c r="B58" s="28" t="s">
        <v>102</v>
      </c>
      <c r="C58" s="82"/>
      <c r="D58" s="83"/>
      <c r="E58" s="82"/>
      <c r="F58" s="83">
        <f>F57</f>
        <v>474140</v>
      </c>
      <c r="G58" s="83">
        <f t="shared" ref="G58:J58" si="27">G57</f>
        <v>0</v>
      </c>
      <c r="H58" s="83">
        <f t="shared" si="27"/>
        <v>71121</v>
      </c>
      <c r="I58" s="83">
        <f t="shared" si="27"/>
        <v>87241.76</v>
      </c>
      <c r="J58" s="83">
        <f t="shared" si="27"/>
        <v>632502.75999999989</v>
      </c>
    </row>
    <row r="59" spans="1:10">
      <c r="A59" s="18"/>
      <c r="B59" s="29"/>
      <c r="C59" s="20"/>
      <c r="D59" s="21"/>
      <c r="E59" s="20"/>
      <c r="F59" s="30"/>
      <c r="G59" s="30"/>
      <c r="H59" s="30"/>
      <c r="I59" s="30"/>
      <c r="J59" s="30"/>
    </row>
    <row r="60" spans="1:10">
      <c r="A60" s="18"/>
      <c r="B60" s="29"/>
      <c r="C60" s="20"/>
      <c r="D60" s="21"/>
      <c r="E60" s="20"/>
      <c r="F60" s="30"/>
      <c r="G60" s="30"/>
      <c r="H60" s="30"/>
      <c r="I60" s="30"/>
      <c r="J60" s="30"/>
    </row>
    <row r="61" spans="1:10">
      <c r="A61" s="431" t="s">
        <v>103</v>
      </c>
      <c r="B61" s="432"/>
      <c r="C61" s="7"/>
      <c r="D61" s="7"/>
      <c r="E61" s="7"/>
      <c r="F61" s="7"/>
      <c r="G61" s="7"/>
      <c r="H61" s="7"/>
      <c r="I61" s="7"/>
      <c r="J61" s="7"/>
    </row>
    <row r="62" spans="1:10">
      <c r="A62" s="84" t="s">
        <v>62</v>
      </c>
      <c r="B62" s="79" t="s">
        <v>13</v>
      </c>
      <c r="C62" s="80" t="s">
        <v>63</v>
      </c>
      <c r="D62" s="80" t="s">
        <v>64</v>
      </c>
      <c r="E62" s="80" t="s">
        <v>65</v>
      </c>
      <c r="F62" s="80" t="s">
        <v>66</v>
      </c>
      <c r="G62" s="80" t="s">
        <v>27</v>
      </c>
      <c r="H62" s="80" t="s">
        <v>68</v>
      </c>
      <c r="I62" s="80" t="s">
        <v>69</v>
      </c>
      <c r="J62" s="8" t="s">
        <v>70</v>
      </c>
    </row>
    <row r="63" spans="1:10">
      <c r="A63" s="427"/>
      <c r="B63" s="70" t="s">
        <v>104</v>
      </c>
      <c r="C63" s="72">
        <v>12</v>
      </c>
      <c r="D63" s="71">
        <v>2096</v>
      </c>
      <c r="E63" s="72">
        <v>1</v>
      </c>
      <c r="F63" s="71">
        <v>25152</v>
      </c>
      <c r="G63" s="71"/>
      <c r="H63" s="71">
        <v>1509.12</v>
      </c>
      <c r="I63" s="71">
        <v>4024.32</v>
      </c>
      <c r="J63" s="73">
        <v>30685.440000000002</v>
      </c>
    </row>
    <row r="64" spans="1:10">
      <c r="A64" s="428"/>
      <c r="B64" s="9" t="s">
        <v>105</v>
      </c>
      <c r="C64" s="10">
        <v>15</v>
      </c>
      <c r="D64" s="31">
        <v>3137</v>
      </c>
      <c r="E64" s="10">
        <v>1</v>
      </c>
      <c r="F64" s="31">
        <v>47055</v>
      </c>
      <c r="G64" s="31"/>
      <c r="H64" s="31">
        <v>2823.2999999999997</v>
      </c>
      <c r="I64" s="31">
        <v>7528.8</v>
      </c>
      <c r="J64" s="32">
        <v>57407.1</v>
      </c>
    </row>
    <row r="65" spans="1:10">
      <c r="A65" s="428"/>
      <c r="B65" s="9" t="s">
        <v>106</v>
      </c>
      <c r="C65" s="10">
        <v>1</v>
      </c>
      <c r="D65" s="31">
        <v>17205</v>
      </c>
      <c r="E65" s="10">
        <v>1</v>
      </c>
      <c r="F65" s="31">
        <v>17205</v>
      </c>
      <c r="G65" s="31"/>
      <c r="H65" s="31">
        <v>1032.3</v>
      </c>
      <c r="I65" s="31">
        <v>2752.8</v>
      </c>
      <c r="J65" s="32">
        <v>20990.1</v>
      </c>
    </row>
    <row r="66" spans="1:10">
      <c r="A66" s="428"/>
      <c r="B66" s="9" t="s">
        <v>107</v>
      </c>
      <c r="C66" s="10">
        <v>1</v>
      </c>
      <c r="D66" s="31">
        <v>18901</v>
      </c>
      <c r="E66" s="10">
        <v>1</v>
      </c>
      <c r="F66" s="31">
        <v>18901</v>
      </c>
      <c r="G66" s="31"/>
      <c r="H66" s="31">
        <v>1134.06</v>
      </c>
      <c r="I66" s="31">
        <v>3024.16</v>
      </c>
      <c r="J66" s="32">
        <v>23059.22</v>
      </c>
    </row>
    <row r="67" spans="1:10">
      <c r="A67" s="428"/>
      <c r="B67" s="42" t="s">
        <v>108</v>
      </c>
      <c r="C67" s="10">
        <v>1</v>
      </c>
      <c r="D67" s="63">
        <v>21011</v>
      </c>
      <c r="E67" s="10">
        <v>1</v>
      </c>
      <c r="F67" s="31">
        <v>21011</v>
      </c>
      <c r="G67" s="31"/>
      <c r="H67" s="31">
        <v>1260.6599999999999</v>
      </c>
      <c r="I67" s="31">
        <v>3361.76</v>
      </c>
      <c r="J67" s="32">
        <v>25633.42</v>
      </c>
    </row>
    <row r="68" spans="1:10">
      <c r="A68" s="428"/>
      <c r="B68" s="42" t="s">
        <v>109</v>
      </c>
      <c r="C68" s="10">
        <v>9</v>
      </c>
      <c r="D68" s="63">
        <v>2096</v>
      </c>
      <c r="E68" s="10">
        <v>1</v>
      </c>
      <c r="F68" s="31">
        <v>18864</v>
      </c>
      <c r="G68" s="31"/>
      <c r="H68" s="31">
        <v>1131.8399999999999</v>
      </c>
      <c r="I68" s="31">
        <v>3018.2400000000002</v>
      </c>
      <c r="J68" s="32">
        <v>23014.080000000002</v>
      </c>
    </row>
    <row r="69" spans="1:10">
      <c r="A69" s="429"/>
      <c r="B69" s="14" t="s">
        <v>110</v>
      </c>
      <c r="C69" s="15">
        <v>17</v>
      </c>
      <c r="D69" s="33">
        <v>3137</v>
      </c>
      <c r="E69" s="15">
        <v>1</v>
      </c>
      <c r="F69" s="33">
        <v>53329</v>
      </c>
      <c r="G69" s="33"/>
      <c r="H69" s="33">
        <v>3199.74</v>
      </c>
      <c r="I69" s="33">
        <v>8532.64</v>
      </c>
      <c r="J69" s="34">
        <v>65061.38</v>
      </c>
    </row>
    <row r="70" spans="1:10">
      <c r="A70" s="427"/>
      <c r="B70" s="77" t="s">
        <v>111</v>
      </c>
      <c r="C70" s="72">
        <v>1</v>
      </c>
      <c r="D70" s="71">
        <v>18901</v>
      </c>
      <c r="E70" s="72">
        <v>1</v>
      </c>
      <c r="F70" s="71">
        <v>18901</v>
      </c>
      <c r="G70" s="71"/>
      <c r="H70" s="71">
        <v>1134.06</v>
      </c>
      <c r="I70" s="71">
        <v>3024.16</v>
      </c>
      <c r="J70" s="73">
        <v>23059.22</v>
      </c>
    </row>
    <row r="71" spans="1:10">
      <c r="A71" s="429"/>
      <c r="B71" s="76" t="s">
        <v>112</v>
      </c>
      <c r="C71" s="57">
        <v>2</v>
      </c>
      <c r="D71" s="58">
        <v>21011</v>
      </c>
      <c r="E71" s="57">
        <v>1</v>
      </c>
      <c r="F71" s="58">
        <v>42022</v>
      </c>
      <c r="G71" s="58"/>
      <c r="H71" s="58">
        <v>2521.3199999999997</v>
      </c>
      <c r="I71" s="58">
        <v>6723.52</v>
      </c>
      <c r="J71" s="60">
        <v>51266.84</v>
      </c>
    </row>
    <row r="72" spans="1:10">
      <c r="A72" s="18"/>
      <c r="B72" s="19" t="s">
        <v>78</v>
      </c>
      <c r="C72" s="20"/>
      <c r="D72" s="21"/>
      <c r="E72" s="20"/>
      <c r="F72" s="27">
        <f>SUM(F63:F71)</f>
        <v>262440</v>
      </c>
      <c r="G72" s="27">
        <f t="shared" ref="G72:J72" si="28">SUM(G63:G71)</f>
        <v>0</v>
      </c>
      <c r="H72" s="27">
        <f t="shared" si="28"/>
        <v>15746.4</v>
      </c>
      <c r="I72" s="27">
        <f t="shared" si="28"/>
        <v>41990.400000000009</v>
      </c>
      <c r="J72" s="27">
        <f t="shared" si="28"/>
        <v>320176.80000000005</v>
      </c>
    </row>
    <row r="73" spans="1:10">
      <c r="A73" s="23"/>
      <c r="B73" s="28" t="s">
        <v>113</v>
      </c>
      <c r="C73" s="82"/>
      <c r="D73" s="83"/>
      <c r="E73" s="82"/>
      <c r="F73" s="83">
        <f>F72</f>
        <v>262440</v>
      </c>
      <c r="G73" s="83">
        <f t="shared" ref="G73:J73" si="29">G72</f>
        <v>0</v>
      </c>
      <c r="H73" s="83">
        <f t="shared" si="29"/>
        <v>15746.4</v>
      </c>
      <c r="I73" s="83">
        <f t="shared" si="29"/>
        <v>41990.400000000009</v>
      </c>
      <c r="J73" s="37">
        <f t="shared" si="29"/>
        <v>320176.80000000005</v>
      </c>
    </row>
    <row r="74" spans="1:10">
      <c r="A74" s="23"/>
      <c r="B74" s="29"/>
      <c r="C74" s="20"/>
      <c r="D74" s="30"/>
      <c r="E74" s="20"/>
      <c r="F74" s="30"/>
      <c r="G74" s="30"/>
      <c r="H74" s="30"/>
      <c r="I74" s="30"/>
      <c r="J74" s="30"/>
    </row>
    <row r="75" spans="1:10">
      <c r="A75" s="431" t="s">
        <v>114</v>
      </c>
      <c r="B75" s="432"/>
      <c r="C75" s="7"/>
      <c r="D75" s="7"/>
      <c r="E75" s="7"/>
      <c r="F75" s="7"/>
      <c r="G75" s="7"/>
      <c r="H75" s="7"/>
      <c r="I75" s="7"/>
      <c r="J75" s="7"/>
    </row>
    <row r="76" spans="1:10">
      <c r="A76" s="66" t="s">
        <v>62</v>
      </c>
      <c r="B76" s="67" t="s">
        <v>13</v>
      </c>
      <c r="C76" s="68" t="s">
        <v>63</v>
      </c>
      <c r="D76" s="68" t="s">
        <v>64</v>
      </c>
      <c r="E76" s="68" t="s">
        <v>65</v>
      </c>
      <c r="F76" s="68" t="s">
        <v>66</v>
      </c>
      <c r="G76" s="68" t="s">
        <v>27</v>
      </c>
      <c r="H76" s="68" t="s">
        <v>68</v>
      </c>
      <c r="I76" s="68" t="s">
        <v>69</v>
      </c>
      <c r="J76" s="69" t="s">
        <v>70</v>
      </c>
    </row>
    <row r="77" spans="1:10" s="41" customFormat="1">
      <c r="A77" s="50"/>
      <c r="B77" s="42"/>
      <c r="C77" s="43"/>
      <c r="D77" s="63"/>
      <c r="E77" s="43"/>
      <c r="F77" s="63"/>
      <c r="G77" s="63"/>
      <c r="H77" s="63"/>
      <c r="I77" s="63"/>
      <c r="J77" s="64"/>
    </row>
    <row r="78" spans="1:10" s="41" customFormat="1">
      <c r="A78" s="50"/>
      <c r="B78" s="42"/>
      <c r="C78" s="43"/>
      <c r="D78" s="63"/>
      <c r="E78" s="43"/>
      <c r="F78" s="63"/>
      <c r="G78" s="63"/>
      <c r="H78" s="63"/>
      <c r="I78" s="63"/>
      <c r="J78" s="64"/>
    </row>
    <row r="79" spans="1:10" s="41" customFormat="1">
      <c r="A79" s="13"/>
      <c r="B79" s="14"/>
      <c r="C79" s="15"/>
      <c r="D79" s="33"/>
      <c r="E79" s="15"/>
      <c r="F79" s="33">
        <f t="shared" ref="F79" si="30">E79+D79+C79</f>
        <v>0</v>
      </c>
      <c r="G79" s="33"/>
      <c r="H79" s="33"/>
      <c r="I79" s="33">
        <f t="shared" ref="I79" si="31">F79*16%</f>
        <v>0</v>
      </c>
      <c r="J79" s="34">
        <f t="shared" ref="J79" si="32">I79+H79+G79+F79</f>
        <v>0</v>
      </c>
    </row>
    <row r="80" spans="1:10">
      <c r="A80" s="18"/>
      <c r="B80" s="19" t="s">
        <v>78</v>
      </c>
      <c r="C80" s="20"/>
      <c r="D80" s="21"/>
      <c r="E80" s="20"/>
      <c r="F80" s="22">
        <f>SUM(F77:F79)</f>
        <v>0</v>
      </c>
      <c r="G80" s="22">
        <f>SUM(G77:G79)</f>
        <v>0</v>
      </c>
      <c r="H80" s="22">
        <f>SUM(H77:H79)</f>
        <v>0</v>
      </c>
      <c r="I80" s="22">
        <f>SUM(I77:I79)</f>
        <v>0</v>
      </c>
      <c r="J80" s="22">
        <f>SUM(J77:J79)</f>
        <v>0</v>
      </c>
    </row>
    <row r="81" spans="1:14">
      <c r="A81" s="23"/>
      <c r="B81" s="28" t="s">
        <v>173</v>
      </c>
      <c r="C81" s="82"/>
      <c r="D81" s="83"/>
      <c r="E81" s="82"/>
      <c r="F81" s="83">
        <f>SUM(F80)</f>
        <v>0</v>
      </c>
      <c r="G81" s="83">
        <f t="shared" ref="G81:J81" si="33">SUM(G80)</f>
        <v>0</v>
      </c>
      <c r="H81" s="83">
        <f t="shared" si="33"/>
        <v>0</v>
      </c>
      <c r="I81" s="83">
        <f t="shared" si="33"/>
        <v>0</v>
      </c>
      <c r="J81" s="83">
        <f t="shared" si="33"/>
        <v>0</v>
      </c>
    </row>
    <row r="82" spans="1:14">
      <c r="A82" s="23"/>
      <c r="B82" s="29"/>
      <c r="C82" s="20"/>
      <c r="D82" s="30"/>
      <c r="E82" s="20"/>
      <c r="F82" s="30"/>
      <c r="G82" s="30"/>
      <c r="H82" s="30"/>
      <c r="I82" s="30"/>
      <c r="J82" s="30"/>
      <c r="N82" t="s">
        <v>116</v>
      </c>
    </row>
    <row r="83" spans="1:14">
      <c r="A83" s="431" t="s">
        <v>117</v>
      </c>
      <c r="B83" s="432"/>
      <c r="C83" s="7"/>
      <c r="D83" s="7"/>
      <c r="E83" s="7"/>
      <c r="F83" s="7"/>
      <c r="G83" s="7"/>
      <c r="H83" s="7"/>
      <c r="I83" s="7"/>
      <c r="J83" s="7"/>
    </row>
    <row r="84" spans="1:14">
      <c r="A84" s="78" t="s">
        <v>62</v>
      </c>
      <c r="B84" s="79" t="s">
        <v>13</v>
      </c>
      <c r="C84" s="80" t="s">
        <v>63</v>
      </c>
      <c r="D84" s="80" t="s">
        <v>64</v>
      </c>
      <c r="E84" s="80" t="s">
        <v>65</v>
      </c>
      <c r="F84" s="80" t="s">
        <v>66</v>
      </c>
      <c r="G84" s="80" t="s">
        <v>27</v>
      </c>
      <c r="H84" s="80" t="s">
        <v>68</v>
      </c>
      <c r="I84" s="80" t="s">
        <v>69</v>
      </c>
      <c r="J84" s="8" t="s">
        <v>70</v>
      </c>
      <c r="N84" t="s">
        <v>116</v>
      </c>
    </row>
    <row r="85" spans="1:14" s="41" customFormat="1" ht="24.75">
      <c r="A85" s="427" t="s">
        <v>74</v>
      </c>
      <c r="B85" s="269" t="s">
        <v>118</v>
      </c>
      <c r="C85" s="72">
        <v>410</v>
      </c>
      <c r="D85" s="74">
        <v>215</v>
      </c>
      <c r="E85" s="72">
        <v>0</v>
      </c>
      <c r="F85" s="71">
        <f t="shared" ref="F85:F92" si="34">SUM(C85*D85*E85)</f>
        <v>0</v>
      </c>
      <c r="G85" s="71"/>
      <c r="H85" s="71"/>
      <c r="I85" s="71">
        <f>F85*16%</f>
        <v>0</v>
      </c>
      <c r="J85" s="73">
        <f>I85+H85+G85+F85</f>
        <v>0</v>
      </c>
    </row>
    <row r="86" spans="1:14" s="41" customFormat="1" ht="54.75" customHeight="1">
      <c r="A86" s="428"/>
      <c r="B86" s="132" t="s">
        <v>274</v>
      </c>
      <c r="C86" s="10">
        <v>1</v>
      </c>
      <c r="D86" s="31">
        <f>800*20</f>
        <v>16000</v>
      </c>
      <c r="E86" s="10">
        <v>0</v>
      </c>
      <c r="F86" s="31">
        <f>SUM(C86*D86*E86)</f>
        <v>0</v>
      </c>
      <c r="G86" s="31"/>
      <c r="H86" s="31"/>
      <c r="I86" s="31">
        <f>F86*16%</f>
        <v>0</v>
      </c>
      <c r="J86" s="32">
        <f>I86+H86+G86+F86</f>
        <v>0</v>
      </c>
    </row>
    <row r="87" spans="1:14" s="41" customFormat="1" ht="35.25" customHeight="1">
      <c r="A87" s="428"/>
      <c r="B87" s="132" t="s">
        <v>303</v>
      </c>
      <c r="C87" s="10">
        <v>1</v>
      </c>
      <c r="D87" s="11">
        <v>215</v>
      </c>
      <c r="E87" s="10">
        <v>0</v>
      </c>
      <c r="F87" s="31">
        <f t="shared" si="34"/>
        <v>0</v>
      </c>
      <c r="G87" s="31"/>
      <c r="H87" s="31"/>
      <c r="I87" s="31">
        <f t="shared" ref="I87:I92" si="35">F87*16%</f>
        <v>0</v>
      </c>
      <c r="J87" s="32">
        <f t="shared" ref="J87:J92" si="36">I87+H87+G87+F87</f>
        <v>0</v>
      </c>
    </row>
    <row r="88" spans="1:14" s="41" customFormat="1" ht="44.25" customHeight="1">
      <c r="A88" s="428"/>
      <c r="B88" s="132" t="s">
        <v>304</v>
      </c>
      <c r="C88" s="10">
        <v>1</v>
      </c>
      <c r="D88" s="11">
        <v>960</v>
      </c>
      <c r="E88" s="10">
        <v>0</v>
      </c>
      <c r="F88" s="31">
        <f t="shared" si="34"/>
        <v>0</v>
      </c>
      <c r="G88" s="31"/>
      <c r="H88" s="31"/>
      <c r="I88" s="31">
        <f t="shared" si="35"/>
        <v>0</v>
      </c>
      <c r="J88" s="32">
        <f t="shared" si="36"/>
        <v>0</v>
      </c>
    </row>
    <row r="89" spans="1:14" s="41" customFormat="1" ht="62.45" customHeight="1">
      <c r="A89" s="93" t="s">
        <v>71</v>
      </c>
      <c r="B89" s="127" t="s">
        <v>305</v>
      </c>
      <c r="C89" s="94">
        <v>1</v>
      </c>
      <c r="D89" s="95">
        <v>0</v>
      </c>
      <c r="E89" s="94">
        <v>1</v>
      </c>
      <c r="F89" s="96">
        <f t="shared" si="34"/>
        <v>0</v>
      </c>
      <c r="G89" s="96"/>
      <c r="H89" s="96"/>
      <c r="I89" s="96">
        <f t="shared" si="35"/>
        <v>0</v>
      </c>
      <c r="J89" s="97">
        <f t="shared" si="36"/>
        <v>0</v>
      </c>
    </row>
    <row r="90" spans="1:14" s="41" customFormat="1" ht="36.75" customHeight="1">
      <c r="A90" s="75" t="s">
        <v>83</v>
      </c>
      <c r="B90" s="126" t="s">
        <v>306</v>
      </c>
      <c r="C90" s="57">
        <v>1</v>
      </c>
      <c r="D90" s="59">
        <v>0</v>
      </c>
      <c r="E90" s="57">
        <v>1</v>
      </c>
      <c r="F90" s="58">
        <f t="shared" si="34"/>
        <v>0</v>
      </c>
      <c r="G90" s="58"/>
      <c r="H90" s="58"/>
      <c r="I90" s="58">
        <f t="shared" si="35"/>
        <v>0</v>
      </c>
      <c r="J90" s="60">
        <f t="shared" si="36"/>
        <v>0</v>
      </c>
    </row>
    <row r="91" spans="1:14" s="41" customFormat="1" ht="47.25" customHeight="1">
      <c r="A91" s="433" t="s">
        <v>127</v>
      </c>
      <c r="B91" s="128" t="s">
        <v>307</v>
      </c>
      <c r="C91" s="72">
        <v>6</v>
      </c>
      <c r="D91" s="74">
        <v>0</v>
      </c>
      <c r="E91" s="72">
        <v>3</v>
      </c>
      <c r="F91" s="71">
        <f t="shared" ref="F91" si="37">SUM(C91*D91*E91)</f>
        <v>0</v>
      </c>
      <c r="G91" s="71"/>
      <c r="H91" s="71"/>
      <c r="I91" s="71">
        <f t="shared" ref="I91" si="38">F91*16%</f>
        <v>0</v>
      </c>
      <c r="J91" s="73">
        <f t="shared" ref="J91" si="39">I91+H91+G91+F91</f>
        <v>0</v>
      </c>
    </row>
    <row r="92" spans="1:14" s="41" customFormat="1" ht="47.25" customHeight="1">
      <c r="A92" s="459"/>
      <c r="B92" s="128" t="s">
        <v>308</v>
      </c>
      <c r="C92" s="72">
        <v>1</v>
      </c>
      <c r="D92" s="74">
        <v>10800</v>
      </c>
      <c r="E92" s="72">
        <v>3</v>
      </c>
      <c r="F92" s="71">
        <f t="shared" si="34"/>
        <v>32400</v>
      </c>
      <c r="G92" s="71"/>
      <c r="H92" s="71"/>
      <c r="I92" s="71">
        <f t="shared" si="35"/>
        <v>5184</v>
      </c>
      <c r="J92" s="73">
        <f t="shared" si="36"/>
        <v>37584</v>
      </c>
    </row>
    <row r="93" spans="1:14">
      <c r="A93" s="18"/>
      <c r="B93" s="19" t="s">
        <v>78</v>
      </c>
      <c r="C93" s="20"/>
      <c r="D93" s="21"/>
      <c r="E93" s="20"/>
      <c r="F93" s="38">
        <f>SUM(F85:F92)</f>
        <v>32400</v>
      </c>
      <c r="G93" s="38">
        <f>SUM(G85:G92)</f>
        <v>0</v>
      </c>
      <c r="H93" s="38">
        <f>SUM(H85:H92)</f>
        <v>0</v>
      </c>
      <c r="I93" s="38">
        <f>SUM(I85:I92)</f>
        <v>5184</v>
      </c>
      <c r="J93" s="38">
        <f>SUM(J85:J92)</f>
        <v>37584</v>
      </c>
    </row>
    <row r="94" spans="1:14">
      <c r="A94" s="23"/>
      <c r="B94" s="28" t="s">
        <v>135</v>
      </c>
      <c r="C94" s="82"/>
      <c r="D94" s="83"/>
      <c r="E94" s="82"/>
      <c r="F94" s="83">
        <f>F93</f>
        <v>32400</v>
      </c>
      <c r="G94" s="83">
        <f>G93</f>
        <v>0</v>
      </c>
      <c r="H94" s="83">
        <f>H93</f>
        <v>0</v>
      </c>
      <c r="I94" s="83">
        <f>I93</f>
        <v>5184</v>
      </c>
      <c r="J94" s="37">
        <f>J93</f>
        <v>37584</v>
      </c>
    </row>
    <row r="95" spans="1:14">
      <c r="A95" s="23"/>
      <c r="B95" s="29"/>
      <c r="C95" s="20"/>
      <c r="D95" s="30"/>
      <c r="E95" s="20"/>
      <c r="F95" s="30"/>
      <c r="G95" s="30"/>
      <c r="H95" s="30"/>
      <c r="I95" s="30"/>
      <c r="J95" s="30"/>
    </row>
    <row r="96" spans="1:14">
      <c r="A96" s="431" t="s">
        <v>136</v>
      </c>
      <c r="B96" s="432"/>
      <c r="C96" s="7"/>
      <c r="D96" s="7"/>
      <c r="E96" s="7"/>
      <c r="F96" s="7"/>
      <c r="G96" s="7"/>
      <c r="H96" s="7"/>
      <c r="I96" s="7"/>
      <c r="J96" s="7"/>
    </row>
    <row r="97" spans="1:10">
      <c r="A97" s="78" t="s">
        <v>62</v>
      </c>
      <c r="B97" s="79" t="s">
        <v>13</v>
      </c>
      <c r="C97" s="80" t="s">
        <v>63</v>
      </c>
      <c r="D97" s="80" t="s">
        <v>64</v>
      </c>
      <c r="E97" s="80" t="s">
        <v>65</v>
      </c>
      <c r="F97" s="80" t="s">
        <v>66</v>
      </c>
      <c r="G97" s="80" t="s">
        <v>27</v>
      </c>
      <c r="H97" s="80" t="s">
        <v>68</v>
      </c>
      <c r="I97" s="80" t="s">
        <v>69</v>
      </c>
      <c r="J97" s="8" t="s">
        <v>70</v>
      </c>
    </row>
    <row r="98" spans="1:10" s="41" customFormat="1" ht="24.75">
      <c r="A98" s="434" t="s">
        <v>137</v>
      </c>
      <c r="B98" s="70" t="s">
        <v>138</v>
      </c>
      <c r="C98" s="72">
        <v>4</v>
      </c>
      <c r="D98" s="74">
        <v>5719.14</v>
      </c>
      <c r="E98" s="72">
        <v>5</v>
      </c>
      <c r="F98" s="74">
        <f>SUM(C98*D98*E98)</f>
        <v>114382.8</v>
      </c>
      <c r="G98" s="74">
        <f>141.8*C98*E98</f>
        <v>2836</v>
      </c>
      <c r="H98" s="74">
        <f>304*C98*E98</f>
        <v>6080</v>
      </c>
      <c r="I98" s="74">
        <f>(F98+G98+H98)*16%</f>
        <v>19727.808000000001</v>
      </c>
      <c r="J98" s="81">
        <f t="shared" ref="J98:J101" si="40">I98+H98+G98+F98</f>
        <v>143026.60800000001</v>
      </c>
    </row>
    <row r="99" spans="1:10" s="41" customFormat="1">
      <c r="A99" s="435"/>
      <c r="B99" s="14" t="s">
        <v>73</v>
      </c>
      <c r="C99" s="15">
        <v>4</v>
      </c>
      <c r="D99" s="16">
        <v>59</v>
      </c>
      <c r="E99" s="15">
        <v>5</v>
      </c>
      <c r="F99" s="16"/>
      <c r="G99" s="16"/>
      <c r="H99" s="16">
        <f>E99*D99*C99</f>
        <v>1180</v>
      </c>
      <c r="I99" s="16">
        <v>0</v>
      </c>
      <c r="J99" s="17">
        <f t="shared" si="40"/>
        <v>1180</v>
      </c>
    </row>
    <row r="100" spans="1:10" s="41" customFormat="1" ht="24.75">
      <c r="A100" s="435"/>
      <c r="B100" s="70" t="s">
        <v>139</v>
      </c>
      <c r="C100" s="72">
        <v>1</v>
      </c>
      <c r="D100" s="74">
        <v>5719.14</v>
      </c>
      <c r="E100" s="72">
        <v>5</v>
      </c>
      <c r="F100" s="74">
        <f>SUM(C100*D100*E100)</f>
        <v>28595.7</v>
      </c>
      <c r="G100" s="74">
        <f>141.8*C100*E100</f>
        <v>709</v>
      </c>
      <c r="H100" s="74">
        <f>304*C100*E100</f>
        <v>1520</v>
      </c>
      <c r="I100" s="74">
        <f>(F100+G100+H100)*16%</f>
        <v>4931.9520000000002</v>
      </c>
      <c r="J100" s="81">
        <f t="shared" si="40"/>
        <v>35756.652000000002</v>
      </c>
    </row>
    <row r="101" spans="1:10" s="41" customFormat="1">
      <c r="A101" s="435"/>
      <c r="B101" s="14" t="s">
        <v>73</v>
      </c>
      <c r="C101" s="15">
        <v>1</v>
      </c>
      <c r="D101" s="16">
        <v>59</v>
      </c>
      <c r="E101" s="15">
        <v>5</v>
      </c>
      <c r="F101" s="16"/>
      <c r="G101" s="16"/>
      <c r="H101" s="16">
        <f>E101*D101*C101</f>
        <v>295</v>
      </c>
      <c r="I101" s="16">
        <v>0</v>
      </c>
      <c r="J101" s="17">
        <f t="shared" si="40"/>
        <v>295</v>
      </c>
    </row>
    <row r="102" spans="1:10" s="41" customFormat="1">
      <c r="A102" s="435"/>
      <c r="B102" s="528" t="s">
        <v>140</v>
      </c>
      <c r="C102" s="529">
        <v>10</v>
      </c>
      <c r="D102" s="530">
        <v>6046</v>
      </c>
      <c r="E102" s="529">
        <v>1</v>
      </c>
      <c r="F102" s="530">
        <f>SUM(C102*D102*E102)</f>
        <v>60460</v>
      </c>
      <c r="G102" s="530">
        <v>0</v>
      </c>
      <c r="H102" s="530">
        <f>2355*C102</f>
        <v>23550</v>
      </c>
      <c r="I102" s="530">
        <f>968*C102</f>
        <v>9680</v>
      </c>
      <c r="J102" s="530">
        <f>I102+H102+G102+F102</f>
        <v>93690</v>
      </c>
    </row>
    <row r="103" spans="1:10" s="41" customFormat="1">
      <c r="A103" s="437"/>
      <c r="B103" s="528" t="s">
        <v>141</v>
      </c>
      <c r="C103" s="529">
        <v>10</v>
      </c>
      <c r="D103" s="530">
        <v>230</v>
      </c>
      <c r="E103" s="529">
        <v>1</v>
      </c>
      <c r="F103" s="530">
        <f>C103*D103*E103</f>
        <v>2300</v>
      </c>
      <c r="G103" s="530"/>
      <c r="H103" s="530"/>
      <c r="I103" s="530">
        <f>F103*16%</f>
        <v>368</v>
      </c>
      <c r="J103" s="530">
        <f>SUM(F103:I103)</f>
        <v>2668</v>
      </c>
    </row>
    <row r="104" spans="1:10" s="41" customFormat="1" ht="19.899999999999999" customHeight="1">
      <c r="A104" s="436"/>
      <c r="B104" s="14" t="s">
        <v>142</v>
      </c>
      <c r="C104" s="15">
        <v>10</v>
      </c>
      <c r="D104" s="16">
        <v>1500</v>
      </c>
      <c r="E104" s="15">
        <v>5</v>
      </c>
      <c r="F104" s="16">
        <f t="shared" ref="F102:F104" si="41">SUM(C104*D104*E104)</f>
        <v>75000</v>
      </c>
      <c r="G104" s="16">
        <v>0</v>
      </c>
      <c r="H104" s="16">
        <v>0</v>
      </c>
      <c r="I104" s="16">
        <f t="shared" ref="I102:I104" si="42">(F104*16%)+(G104*16%)+(H104*16%)</f>
        <v>12000</v>
      </c>
      <c r="J104" s="17">
        <f t="shared" ref="J102:J104" si="43">I104+H104+G104+F104</f>
        <v>87000</v>
      </c>
    </row>
    <row r="105" spans="1:10">
      <c r="A105" s="18"/>
      <c r="B105" s="19" t="s">
        <v>78</v>
      </c>
      <c r="C105" s="35"/>
      <c r="D105" s="36"/>
      <c r="E105" s="35"/>
      <c r="F105" s="65">
        <f>SUM(F98:F104)</f>
        <v>280738.5</v>
      </c>
      <c r="G105" s="65">
        <f>SUM(G98:G104)</f>
        <v>3545</v>
      </c>
      <c r="H105" s="65">
        <f t="shared" ref="H105:J105" si="44">SUM(H98:H104)</f>
        <v>32625</v>
      </c>
      <c r="I105" s="65">
        <f t="shared" si="44"/>
        <v>46707.76</v>
      </c>
      <c r="J105" s="65">
        <f t="shared" si="44"/>
        <v>363616.26</v>
      </c>
    </row>
    <row r="106" spans="1:10" ht="25.5">
      <c r="A106" s="23"/>
      <c r="B106" s="28" t="s">
        <v>143</v>
      </c>
      <c r="C106" s="82"/>
      <c r="D106" s="83"/>
      <c r="E106" s="82"/>
      <c r="F106" s="83">
        <f>F105</f>
        <v>280738.5</v>
      </c>
      <c r="G106" s="83">
        <f>G105</f>
        <v>3545</v>
      </c>
      <c r="H106" s="83">
        <f>H105</f>
        <v>32625</v>
      </c>
      <c r="I106" s="83">
        <f>I105</f>
        <v>46707.76</v>
      </c>
      <c r="J106" s="83">
        <f>J105</f>
        <v>363616.26</v>
      </c>
    </row>
    <row r="107" spans="1:10">
      <c r="A107" s="23"/>
      <c r="B107" s="24"/>
      <c r="C107" s="25"/>
      <c r="D107" s="26"/>
      <c r="E107" s="25"/>
      <c r="F107" s="26"/>
      <c r="G107" s="26"/>
      <c r="H107" s="26"/>
      <c r="I107" s="26"/>
      <c r="J107" s="26"/>
    </row>
    <row r="108" spans="1:10" ht="22.5">
      <c r="A108" s="430" t="s">
        <v>1</v>
      </c>
      <c r="B108" s="430"/>
      <c r="C108" s="430"/>
      <c r="D108" s="430"/>
      <c r="E108" s="430"/>
      <c r="F108" s="26"/>
      <c r="G108" s="26"/>
      <c r="H108" s="26"/>
      <c r="I108" s="26"/>
      <c r="J108" s="26"/>
    </row>
    <row r="109" spans="1:10">
      <c r="A109" s="39"/>
      <c r="B109" s="85"/>
      <c r="C109" s="82"/>
      <c r="D109" s="83"/>
      <c r="E109" s="86" t="s">
        <v>144</v>
      </c>
      <c r="F109" s="83">
        <f>F28</f>
        <v>3790553.6700000004</v>
      </c>
      <c r="G109" s="83">
        <f>G28</f>
        <v>92885.880000000019</v>
      </c>
      <c r="H109" s="83">
        <f>H28</f>
        <v>223098</v>
      </c>
      <c r="I109" s="83">
        <f>I28</f>
        <v>651118.00800000003</v>
      </c>
      <c r="J109" s="83">
        <f>SUM(F109:I109)</f>
        <v>4757655.5580000002</v>
      </c>
    </row>
    <row r="110" spans="1:10">
      <c r="A110" s="39"/>
      <c r="B110" s="85"/>
      <c r="C110" s="82"/>
      <c r="D110" s="83"/>
      <c r="E110" s="86" t="s">
        <v>145</v>
      </c>
      <c r="F110" s="83">
        <f>F58</f>
        <v>474140</v>
      </c>
      <c r="G110" s="83">
        <f>G58</f>
        <v>0</v>
      </c>
      <c r="H110" s="83">
        <f>H58</f>
        <v>71121</v>
      </c>
      <c r="I110" s="83">
        <f>I58</f>
        <v>87241.76</v>
      </c>
      <c r="J110" s="83">
        <f>SUM(F110:I110)</f>
        <v>632502.76</v>
      </c>
    </row>
    <row r="111" spans="1:10">
      <c r="A111" s="39"/>
      <c r="B111" s="85"/>
      <c r="C111" s="82"/>
      <c r="D111" s="83"/>
      <c r="E111" s="86" t="s">
        <v>146</v>
      </c>
      <c r="F111" s="83">
        <f>F73</f>
        <v>262440</v>
      </c>
      <c r="G111" s="83">
        <f>G73</f>
        <v>0</v>
      </c>
      <c r="H111" s="83">
        <f>H73</f>
        <v>15746.4</v>
      </c>
      <c r="I111" s="83">
        <f>I73</f>
        <v>41990.400000000009</v>
      </c>
      <c r="J111" s="83">
        <f>SUM(F111:I111)</f>
        <v>320176.80000000005</v>
      </c>
    </row>
    <row r="112" spans="1:10">
      <c r="A112" s="39"/>
      <c r="B112" s="85"/>
      <c r="C112" s="82"/>
      <c r="D112" s="83"/>
      <c r="E112" s="86" t="str">
        <f>A75</f>
        <v>TELEMARKETING</v>
      </c>
      <c r="F112" s="83">
        <f>F81</f>
        <v>0</v>
      </c>
      <c r="G112" s="83">
        <f>G81</f>
        <v>0</v>
      </c>
      <c r="H112" s="83">
        <f>H81</f>
        <v>0</v>
      </c>
      <c r="I112" s="83">
        <f>I81</f>
        <v>0</v>
      </c>
      <c r="J112" s="83">
        <f>SUM(F112:I112)</f>
        <v>0</v>
      </c>
    </row>
    <row r="113" spans="1:10">
      <c r="A113" s="39"/>
      <c r="B113" s="85"/>
      <c r="C113" s="82"/>
      <c r="D113" s="83"/>
      <c r="E113" s="86" t="s">
        <v>30</v>
      </c>
      <c r="F113" s="83">
        <f>F94</f>
        <v>32400</v>
      </c>
      <c r="G113" s="83">
        <f>G94</f>
        <v>0</v>
      </c>
      <c r="H113" s="83">
        <f>H94</f>
        <v>0</v>
      </c>
      <c r="I113" s="83">
        <f>I94</f>
        <v>5184</v>
      </c>
      <c r="J113" s="83">
        <f>SUM(F113:I113)</f>
        <v>37584</v>
      </c>
    </row>
    <row r="114" spans="1:10">
      <c r="A114" s="40"/>
      <c r="B114" s="87"/>
      <c r="C114" s="88"/>
      <c r="D114" s="89"/>
      <c r="E114" s="90" t="s">
        <v>147</v>
      </c>
      <c r="F114" s="89">
        <f>SUM(F109:F113)</f>
        <v>4559533.67</v>
      </c>
      <c r="G114" s="89">
        <f t="shared" ref="G114:I114" si="45">SUM(G109:G113)</f>
        <v>92885.880000000019</v>
      </c>
      <c r="H114" s="89">
        <f t="shared" si="45"/>
        <v>309965.40000000002</v>
      </c>
      <c r="I114" s="89">
        <f t="shared" si="45"/>
        <v>785534.16800000006</v>
      </c>
      <c r="J114" s="89">
        <f>SUM(J109:J113)</f>
        <v>5747919.1179999998</v>
      </c>
    </row>
    <row r="115" spans="1:10">
      <c r="A115" s="39"/>
      <c r="B115" s="85"/>
      <c r="C115" s="82"/>
      <c r="D115" s="83"/>
      <c r="E115" s="86" t="s">
        <v>148</v>
      </c>
      <c r="F115" s="83">
        <f>(F109+F110+F111+F112+F113)*6%</f>
        <v>273572.02019999997</v>
      </c>
      <c r="G115" s="83"/>
      <c r="H115" s="83"/>
      <c r="I115" s="83">
        <f>F115*16%</f>
        <v>43771.523232</v>
      </c>
      <c r="J115" s="83">
        <f>SUM(F115:I115)</f>
        <v>317343.54343199998</v>
      </c>
    </row>
    <row r="116" spans="1:10">
      <c r="A116" s="39"/>
      <c r="B116" s="85"/>
      <c r="C116" s="82"/>
      <c r="D116" s="83"/>
      <c r="E116" s="86" t="s">
        <v>149</v>
      </c>
      <c r="F116" s="83">
        <f>F106</f>
        <v>280738.5</v>
      </c>
      <c r="G116" s="83">
        <f>G106</f>
        <v>3545</v>
      </c>
      <c r="H116" s="83">
        <f>H106</f>
        <v>32625</v>
      </c>
      <c r="I116" s="83">
        <f>I106</f>
        <v>46707.76</v>
      </c>
      <c r="J116" s="83">
        <f>SUM(F116:I116)</f>
        <v>363616.26</v>
      </c>
    </row>
    <row r="117" spans="1:10">
      <c r="A117" s="40"/>
      <c r="B117" s="87"/>
      <c r="C117" s="88"/>
      <c r="D117" s="89"/>
      <c r="E117" s="90" t="s">
        <v>150</v>
      </c>
      <c r="F117" s="89">
        <f>SUM(F114:F116)</f>
        <v>5113844.1902000001</v>
      </c>
      <c r="G117" s="89">
        <f>SUM(G114:G116)</f>
        <v>96430.880000000019</v>
      </c>
      <c r="H117" s="89">
        <f>SUM(H114:H116)</f>
        <v>342590.4</v>
      </c>
      <c r="I117" s="89">
        <f>SUM(I114:I116)</f>
        <v>876013.45123200002</v>
      </c>
      <c r="J117" s="89">
        <f>SUM(J114:J116)</f>
        <v>6428878.9214319997</v>
      </c>
    </row>
    <row r="119" spans="1:10">
      <c r="A119" s="98" t="s">
        <v>192</v>
      </c>
    </row>
    <row r="120" spans="1:10">
      <c r="A120" s="98" t="s">
        <v>151</v>
      </c>
    </row>
  </sheetData>
  <mergeCells count="28">
    <mergeCell ref="B11:J11"/>
    <mergeCell ref="A1:J5"/>
    <mergeCell ref="B7:J7"/>
    <mergeCell ref="B8:J8"/>
    <mergeCell ref="B9:J9"/>
    <mergeCell ref="B10:J10"/>
    <mergeCell ref="A49:A55"/>
    <mergeCell ref="B12:J12"/>
    <mergeCell ref="B13:J13"/>
    <mergeCell ref="F14:G14"/>
    <mergeCell ref="H14:J14"/>
    <mergeCell ref="A17:B17"/>
    <mergeCell ref="A19:A20"/>
    <mergeCell ref="A21:A25"/>
    <mergeCell ref="A31:B31"/>
    <mergeCell ref="A33:A34"/>
    <mergeCell ref="A35:A41"/>
    <mergeCell ref="A42:A48"/>
    <mergeCell ref="A96:B96"/>
    <mergeCell ref="A98:A104"/>
    <mergeCell ref="A108:E108"/>
    <mergeCell ref="A61:B61"/>
    <mergeCell ref="A63:A69"/>
    <mergeCell ref="A70:A71"/>
    <mergeCell ref="A75:B75"/>
    <mergeCell ref="A83:B83"/>
    <mergeCell ref="A85:A88"/>
    <mergeCell ref="A91:A9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C64B-1CBC-4CDA-9CFA-9565CB2A189E}">
  <sheetPr>
    <tabColor theme="0"/>
  </sheetPr>
  <dimension ref="A1:N119"/>
  <sheetViews>
    <sheetView topLeftCell="A113" zoomScale="70" zoomScaleNormal="70" workbookViewId="0">
      <selection activeCell="B9" sqref="B9:J9"/>
    </sheetView>
  </sheetViews>
  <sheetFormatPr defaultColWidth="8.85546875" defaultRowHeight="15"/>
  <cols>
    <col min="1" max="1" width="20.7109375" customWidth="1"/>
    <col min="2" max="2" width="49.140625" customWidth="1"/>
    <col min="3" max="3" width="10.5703125" customWidth="1"/>
    <col min="4" max="5" width="13.85546875" customWidth="1"/>
    <col min="6" max="6" width="16.85546875" customWidth="1"/>
    <col min="7" max="8" width="12.5703125" bestFit="1" customWidth="1"/>
    <col min="9" max="9" width="14.28515625" bestFit="1" customWidth="1"/>
    <col min="10" max="10" width="19.28515625" customWidth="1"/>
    <col min="11" max="11" width="9.140625" bestFit="1" customWidth="1"/>
    <col min="12" max="12" width="12.28515625" bestFit="1" customWidth="1"/>
  </cols>
  <sheetData>
    <row r="1" spans="1:10">
      <c r="A1" s="463" t="s">
        <v>44</v>
      </c>
      <c r="B1" s="464"/>
      <c r="C1" s="464"/>
      <c r="D1" s="464"/>
      <c r="E1" s="464"/>
      <c r="F1" s="464"/>
      <c r="G1" s="464"/>
      <c r="H1" s="464"/>
      <c r="I1" s="464"/>
      <c r="J1" s="465"/>
    </row>
    <row r="2" spans="1:10">
      <c r="A2" s="466"/>
      <c r="B2" s="467"/>
      <c r="C2" s="467"/>
      <c r="D2" s="467"/>
      <c r="E2" s="467"/>
      <c r="F2" s="467"/>
      <c r="G2" s="467"/>
      <c r="H2" s="467"/>
      <c r="I2" s="467"/>
      <c r="J2" s="468"/>
    </row>
    <row r="3" spans="1:10">
      <c r="A3" s="466"/>
      <c r="B3" s="467"/>
      <c r="C3" s="467"/>
      <c r="D3" s="467"/>
      <c r="E3" s="467"/>
      <c r="F3" s="467"/>
      <c r="G3" s="467"/>
      <c r="H3" s="467"/>
      <c r="I3" s="467"/>
      <c r="J3" s="468"/>
    </row>
    <row r="4" spans="1:10">
      <c r="A4" s="466"/>
      <c r="B4" s="467"/>
      <c r="C4" s="467"/>
      <c r="D4" s="467"/>
      <c r="E4" s="467"/>
      <c r="F4" s="467"/>
      <c r="G4" s="467"/>
      <c r="H4" s="467"/>
      <c r="I4" s="467"/>
      <c r="J4" s="468"/>
    </row>
    <row r="5" spans="1:10">
      <c r="A5" s="469"/>
      <c r="B5" s="470"/>
      <c r="C5" s="470"/>
      <c r="D5" s="470"/>
      <c r="E5" s="470"/>
      <c r="F5" s="470"/>
      <c r="G5" s="470"/>
      <c r="H5" s="470"/>
      <c r="I5" s="470"/>
      <c r="J5" s="47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>
      <c r="A7" s="16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75">
      <c r="A8" s="162" t="s">
        <v>46</v>
      </c>
      <c r="B8" s="472" t="s">
        <v>310</v>
      </c>
      <c r="C8" s="472"/>
      <c r="D8" s="472"/>
      <c r="E8" s="472"/>
      <c r="F8" s="472"/>
      <c r="G8" s="472"/>
      <c r="H8" s="472"/>
      <c r="I8" s="472"/>
      <c r="J8" s="472"/>
    </row>
    <row r="9" spans="1:10" ht="15.75">
      <c r="A9" s="162" t="s">
        <v>48</v>
      </c>
      <c r="B9" s="473" t="s">
        <v>311</v>
      </c>
      <c r="C9" s="473"/>
      <c r="D9" s="473"/>
      <c r="E9" s="473"/>
      <c r="F9" s="473"/>
      <c r="G9" s="473"/>
      <c r="H9" s="473"/>
      <c r="I9" s="473"/>
      <c r="J9" s="473"/>
    </row>
    <row r="10" spans="1:10" ht="15.75">
      <c r="A10" s="162" t="s">
        <v>50</v>
      </c>
      <c r="B10" s="474" t="s">
        <v>195</v>
      </c>
      <c r="C10" s="474"/>
      <c r="D10" s="474"/>
      <c r="E10" s="474"/>
      <c r="F10" s="474"/>
      <c r="G10" s="474"/>
      <c r="H10" s="474"/>
      <c r="I10" s="474"/>
      <c r="J10" s="474"/>
    </row>
    <row r="11" spans="1:10" ht="15.75">
      <c r="A11" s="162" t="s">
        <v>52</v>
      </c>
      <c r="B11" s="474" t="s">
        <v>312</v>
      </c>
      <c r="C11" s="474"/>
      <c r="D11" s="474"/>
      <c r="E11" s="474"/>
      <c r="F11" s="474"/>
      <c r="G11" s="474"/>
      <c r="H11" s="474"/>
      <c r="I11" s="474"/>
      <c r="J11" s="474"/>
    </row>
    <row r="12" spans="1:10" ht="15.75">
      <c r="A12" s="16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162" t="s">
        <v>56</v>
      </c>
      <c r="B13" s="474"/>
      <c r="C13" s="474"/>
      <c r="D13" s="474"/>
      <c r="E13" s="474"/>
      <c r="F13" s="474"/>
      <c r="G13" s="474"/>
      <c r="H13" s="474"/>
      <c r="I13" s="474"/>
      <c r="J13" s="474"/>
    </row>
    <row r="14" spans="1:10">
      <c r="A14" s="163" t="s">
        <v>57</v>
      </c>
      <c r="B14" s="164" t="s">
        <v>58</v>
      </c>
      <c r="C14" s="165" t="s">
        <v>59</v>
      </c>
      <c r="D14" s="166">
        <v>0</v>
      </c>
      <c r="E14" s="167"/>
      <c r="F14" s="475" t="s">
        <v>60</v>
      </c>
      <c r="G14" s="475"/>
      <c r="H14" s="476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ht="15" customHeight="1">
      <c r="A17" s="477" t="s">
        <v>61</v>
      </c>
      <c r="B17" s="478"/>
      <c r="C17" s="167"/>
      <c r="D17" s="167"/>
      <c r="E17" s="167"/>
      <c r="F17" s="167"/>
      <c r="G17" s="167"/>
      <c r="H17" s="167"/>
      <c r="I17" s="167"/>
      <c r="J17" s="167"/>
    </row>
    <row r="18" spans="1:12">
      <c r="A18" s="168" t="s">
        <v>62</v>
      </c>
      <c r="B18" s="169" t="s">
        <v>13</v>
      </c>
      <c r="C18" s="170" t="s">
        <v>63</v>
      </c>
      <c r="D18" s="170" t="s">
        <v>64</v>
      </c>
      <c r="E18" s="170" t="s">
        <v>65</v>
      </c>
      <c r="F18" s="170" t="s">
        <v>66</v>
      </c>
      <c r="G18" s="170" t="s">
        <v>67</v>
      </c>
      <c r="H18" s="170" t="s">
        <v>68</v>
      </c>
      <c r="I18" s="170" t="s">
        <v>69</v>
      </c>
      <c r="J18" s="171" t="s">
        <v>70</v>
      </c>
    </row>
    <row r="19" spans="1:12" s="41" customFormat="1">
      <c r="A19" s="460" t="s">
        <v>71</v>
      </c>
      <c r="B19" s="172" t="s">
        <v>72</v>
      </c>
      <c r="C19" s="173">
        <v>5</v>
      </c>
      <c r="D19" s="174">
        <v>6855</v>
      </c>
      <c r="E19" s="173">
        <v>1</v>
      </c>
      <c r="F19" s="174">
        <f>SUM(C19*D19*E19)</f>
        <v>34275</v>
      </c>
      <c r="G19" s="174">
        <f>171.4*C19*E19</f>
        <v>857</v>
      </c>
      <c r="H19" s="174">
        <f>215.6*C19*E19</f>
        <v>1078</v>
      </c>
      <c r="I19" s="174">
        <f>(F19+G19+H19)*16%</f>
        <v>5793.6</v>
      </c>
      <c r="J19" s="175">
        <f>I19+H19+G19+F19</f>
        <v>42003.6</v>
      </c>
      <c r="L19" s="123"/>
    </row>
    <row r="20" spans="1:12" s="41" customFormat="1">
      <c r="A20" s="462"/>
      <c r="B20" s="177" t="s">
        <v>73</v>
      </c>
      <c r="C20" s="178">
        <v>5</v>
      </c>
      <c r="D20" s="179">
        <v>76.25</v>
      </c>
      <c r="E20" s="178">
        <v>1</v>
      </c>
      <c r="F20" s="179"/>
      <c r="G20" s="179"/>
      <c r="H20" s="179">
        <f>E20*D20*C20</f>
        <v>381.25</v>
      </c>
      <c r="I20" s="179">
        <v>0</v>
      </c>
      <c r="J20" s="180">
        <f>I20+H20+G20+F20</f>
        <v>381.25</v>
      </c>
    </row>
    <row r="21" spans="1:12" s="41" customFormat="1">
      <c r="A21" s="460" t="s">
        <v>74</v>
      </c>
      <c r="B21" s="181" t="s">
        <v>72</v>
      </c>
      <c r="C21" s="182">
        <v>30</v>
      </c>
      <c r="D21" s="174">
        <v>6855</v>
      </c>
      <c r="E21" s="173">
        <v>3</v>
      </c>
      <c r="F21" s="174">
        <f>SUM(C21*D21*E21)</f>
        <v>616950</v>
      </c>
      <c r="G21" s="174">
        <f>171.4*C21*E21</f>
        <v>15426</v>
      </c>
      <c r="H21" s="174">
        <f>215.6*C21*E21</f>
        <v>19404</v>
      </c>
      <c r="I21" s="174">
        <f>(F21+G21+H21)*16%</f>
        <v>104284.8</v>
      </c>
      <c r="J21" s="175">
        <f>I21+H21+G21+F21</f>
        <v>756064.8</v>
      </c>
    </row>
    <row r="22" spans="1:12" s="41" customFormat="1">
      <c r="A22" s="461"/>
      <c r="B22" s="132" t="s">
        <v>73</v>
      </c>
      <c r="C22" s="183">
        <v>30</v>
      </c>
      <c r="D22" s="184">
        <v>76.25</v>
      </c>
      <c r="E22" s="183">
        <v>3</v>
      </c>
      <c r="F22" s="184"/>
      <c r="G22" s="184"/>
      <c r="H22" s="184">
        <f>E22*D22*C22</f>
        <v>6862.5</v>
      </c>
      <c r="I22" s="184">
        <v>0</v>
      </c>
      <c r="J22" s="185">
        <f>I22+H22+G22+F22</f>
        <v>6862.5</v>
      </c>
    </row>
    <row r="23" spans="1:12" s="41" customFormat="1">
      <c r="A23" s="461"/>
      <c r="B23" s="172" t="s">
        <v>75</v>
      </c>
      <c r="C23" s="173">
        <v>190</v>
      </c>
      <c r="D23" s="174">
        <v>7926.2</v>
      </c>
      <c r="E23" s="173">
        <v>3</v>
      </c>
      <c r="F23" s="174">
        <f>SUM(C23*D23*E23)</f>
        <v>4517934</v>
      </c>
      <c r="G23" s="174">
        <f>198.2*C23*E23</f>
        <v>112974</v>
      </c>
      <c r="H23" s="174">
        <f>431.3*C23*E23</f>
        <v>245841</v>
      </c>
      <c r="I23" s="174">
        <f>(F23+G23+H23)*16%</f>
        <v>780279.84</v>
      </c>
      <c r="J23" s="175">
        <f>I23+H23+G23+F23</f>
        <v>5657028.8399999999</v>
      </c>
    </row>
    <row r="24" spans="1:12" s="41" customFormat="1">
      <c r="A24" s="461"/>
      <c r="B24" s="130" t="s">
        <v>73</v>
      </c>
      <c r="C24" s="186">
        <v>190</v>
      </c>
      <c r="D24" s="187">
        <v>76.25</v>
      </c>
      <c r="E24" s="186">
        <v>3</v>
      </c>
      <c r="F24" s="187"/>
      <c r="G24" s="187"/>
      <c r="H24" s="187">
        <f>E24*D24*C24</f>
        <v>43462.5</v>
      </c>
      <c r="I24" s="187">
        <v>0</v>
      </c>
      <c r="J24" s="188">
        <f>I24+H24+G24+F24</f>
        <v>43462.5</v>
      </c>
    </row>
    <row r="25" spans="1:12" s="41" customFormat="1">
      <c r="A25" s="462"/>
      <c r="B25" s="190" t="s">
        <v>76</v>
      </c>
      <c r="C25" s="191">
        <v>-3</v>
      </c>
      <c r="D25" s="192">
        <v>-6855</v>
      </c>
      <c r="E25" s="191">
        <v>-3</v>
      </c>
      <c r="F25" s="192">
        <f>SUM(C25*D25*E25)</f>
        <v>-61695</v>
      </c>
      <c r="G25" s="192">
        <f>-171.4*C25*E25</f>
        <v>-1542.6000000000001</v>
      </c>
      <c r="H25" s="192">
        <f>-215.6*C25*E25</f>
        <v>-1940.3999999999999</v>
      </c>
      <c r="I25" s="273">
        <f>(F25+G25+H25)*16%</f>
        <v>-10428.48</v>
      </c>
      <c r="J25" s="193">
        <f>I25+H25+G25+F25</f>
        <v>-75606.48</v>
      </c>
    </row>
    <row r="26" spans="1:12" s="41" customFormat="1">
      <c r="A26" s="421"/>
      <c r="B26" s="172" t="s">
        <v>77</v>
      </c>
      <c r="C26" s="173">
        <v>1</v>
      </c>
      <c r="D26" s="174">
        <v>50000</v>
      </c>
      <c r="E26" s="173">
        <v>1</v>
      </c>
      <c r="F26" s="174">
        <f>SUM(C26*D26*E26)</f>
        <v>50000</v>
      </c>
      <c r="G26" s="174">
        <f>171.4*C26*E26</f>
        <v>171.4</v>
      </c>
      <c r="H26" s="174">
        <f>215.6*C26*E26</f>
        <v>215.6</v>
      </c>
      <c r="I26" s="174">
        <f>(F26+G26+H26)*16%</f>
        <v>8061.92</v>
      </c>
      <c r="J26" s="175">
        <f>I26+H26+G26+F26</f>
        <v>58448.92</v>
      </c>
    </row>
    <row r="27" spans="1:12">
      <c r="A27" s="194"/>
      <c r="B27" s="195" t="s">
        <v>78</v>
      </c>
      <c r="C27" s="196"/>
      <c r="D27" s="197"/>
      <c r="E27" s="196"/>
      <c r="F27" s="198">
        <f>SUM(F19:F26)</f>
        <v>5157464</v>
      </c>
      <c r="G27" s="198">
        <f>SUM(G19:G26)</f>
        <v>127885.79999999999</v>
      </c>
      <c r="H27" s="198">
        <f>SUM(H19:H26)</f>
        <v>315304.44999999995</v>
      </c>
      <c r="I27" s="198">
        <f>SUM(I19:I26)</f>
        <v>887991.68</v>
      </c>
      <c r="J27" s="198">
        <f>SUM(J19:J26)</f>
        <v>6488645.9299999997</v>
      </c>
    </row>
    <row r="28" spans="1:12">
      <c r="A28" s="199"/>
      <c r="B28" s="200" t="s">
        <v>79</v>
      </c>
      <c r="C28" s="201"/>
      <c r="D28" s="202"/>
      <c r="E28" s="201"/>
      <c r="F28" s="202">
        <f>F27</f>
        <v>5157464</v>
      </c>
      <c r="G28" s="202">
        <f>G27</f>
        <v>127885.79999999999</v>
      </c>
      <c r="H28" s="202">
        <f>H27</f>
        <v>315304.44999999995</v>
      </c>
      <c r="I28" s="202">
        <f>I27</f>
        <v>887991.68</v>
      </c>
      <c r="J28" s="202">
        <f>J27</f>
        <v>6488645.9299999997</v>
      </c>
    </row>
    <row r="29" spans="1:12">
      <c r="A29" s="203"/>
      <c r="B29" s="204"/>
      <c r="C29" s="196"/>
      <c r="D29" s="197"/>
      <c r="E29" s="196"/>
      <c r="F29" s="197"/>
      <c r="G29" s="197"/>
      <c r="H29" s="197"/>
      <c r="I29" s="197"/>
      <c r="J29" s="197"/>
    </row>
    <row r="30" spans="1:12">
      <c r="A30" s="203"/>
      <c r="B30" s="204"/>
      <c r="C30" s="196"/>
      <c r="D30" s="197"/>
      <c r="E30" s="196"/>
      <c r="F30" s="197"/>
      <c r="G30" s="197"/>
      <c r="H30" s="197"/>
      <c r="I30" s="197"/>
      <c r="J30" s="197"/>
    </row>
    <row r="31" spans="1:12">
      <c r="A31" s="477" t="s">
        <v>80</v>
      </c>
      <c r="B31" s="478"/>
      <c r="C31" s="167"/>
      <c r="D31" s="167"/>
      <c r="E31" s="167"/>
      <c r="F31" s="167"/>
      <c r="G31" s="167"/>
      <c r="H31" s="167"/>
      <c r="I31" s="167"/>
      <c r="J31" s="167"/>
    </row>
    <row r="32" spans="1:12">
      <c r="A32" s="168" t="s">
        <v>62</v>
      </c>
      <c r="B32" s="169" t="s">
        <v>13</v>
      </c>
      <c r="C32" s="170" t="s">
        <v>63</v>
      </c>
      <c r="D32" s="170" t="s">
        <v>64</v>
      </c>
      <c r="E32" s="170" t="s">
        <v>65</v>
      </c>
      <c r="F32" s="170" t="s">
        <v>66</v>
      </c>
      <c r="G32" s="170" t="s">
        <v>27</v>
      </c>
      <c r="H32" s="170" t="s">
        <v>68</v>
      </c>
      <c r="I32" s="170" t="s">
        <v>69</v>
      </c>
      <c r="J32" s="171" t="s">
        <v>70</v>
      </c>
    </row>
    <row r="33" spans="1:10" s="41" customFormat="1" ht="36.75">
      <c r="A33" s="479" t="s">
        <v>71</v>
      </c>
      <c r="B33" s="128" t="s">
        <v>81</v>
      </c>
      <c r="C33" s="173">
        <v>5</v>
      </c>
      <c r="D33" s="174">
        <v>0</v>
      </c>
      <c r="E33" s="173">
        <v>1</v>
      </c>
      <c r="F33" s="174">
        <f>SUM(C33*D33*E33)</f>
        <v>0</v>
      </c>
      <c r="G33" s="174"/>
      <c r="H33" s="174">
        <f>F33*15%</f>
        <v>0</v>
      </c>
      <c r="I33" s="174">
        <f>(F33*16%)+(H33*16%)</f>
        <v>0</v>
      </c>
      <c r="J33" s="175">
        <f>I33+H33+G33+F33</f>
        <v>0</v>
      </c>
    </row>
    <row r="34" spans="1:10" s="41" customFormat="1">
      <c r="A34" s="480"/>
      <c r="B34" s="126" t="s">
        <v>313</v>
      </c>
      <c r="C34" s="206">
        <v>5</v>
      </c>
      <c r="D34" s="207">
        <v>0</v>
      </c>
      <c r="E34" s="206">
        <v>1</v>
      </c>
      <c r="F34" s="207">
        <f>SUM(C34*D34*E34)</f>
        <v>0</v>
      </c>
      <c r="G34" s="207"/>
      <c r="H34" s="207">
        <f>F34*15%</f>
        <v>0</v>
      </c>
      <c r="I34" s="207">
        <f>(F34*16%)+(H34*16%)</f>
        <v>0</v>
      </c>
      <c r="J34" s="208">
        <f>I34+H34+G34+F34</f>
        <v>0</v>
      </c>
    </row>
    <row r="35" spans="1:10" s="41" customFormat="1" ht="36.75">
      <c r="A35" s="481" t="s">
        <v>83</v>
      </c>
      <c r="B35" s="129" t="s">
        <v>84</v>
      </c>
      <c r="C35" s="183">
        <v>5</v>
      </c>
      <c r="D35" s="184">
        <v>0</v>
      </c>
      <c r="E35" s="183">
        <v>1</v>
      </c>
      <c r="F35" s="209">
        <f>SUM(C35*D35*E35)</f>
        <v>0</v>
      </c>
      <c r="G35" s="184"/>
      <c r="H35" s="184">
        <f>F35*15%</f>
        <v>0</v>
      </c>
      <c r="I35" s="184">
        <f>(F35*16%)+(H35*16%)</f>
        <v>0</v>
      </c>
      <c r="J35" s="185">
        <f>I35+H35+G35+F35</f>
        <v>0</v>
      </c>
    </row>
    <row r="36" spans="1:10" s="41" customFormat="1" ht="24.75">
      <c r="A36" s="482"/>
      <c r="B36" s="129" t="s">
        <v>85</v>
      </c>
      <c r="C36" s="183">
        <v>410</v>
      </c>
      <c r="D36" s="184">
        <v>0</v>
      </c>
      <c r="E36" s="183">
        <v>1</v>
      </c>
      <c r="F36" s="209">
        <f>SUM(C36*D36*E36)</f>
        <v>0</v>
      </c>
      <c r="G36" s="184"/>
      <c r="H36" s="184">
        <f>F36*15%</f>
        <v>0</v>
      </c>
      <c r="I36" s="184">
        <f>(F36*16%)+(H36*16%)</f>
        <v>0</v>
      </c>
      <c r="J36" s="185">
        <f>I36+H36+G36+F36</f>
        <v>0</v>
      </c>
    </row>
    <row r="37" spans="1:10" s="41" customFormat="1" ht="49.5">
      <c r="A37" s="482"/>
      <c r="B37" s="129" t="s">
        <v>314</v>
      </c>
      <c r="C37" s="183">
        <v>410</v>
      </c>
      <c r="D37" s="184">
        <v>0</v>
      </c>
      <c r="E37" s="183">
        <v>1</v>
      </c>
      <c r="F37" s="209">
        <f>SUM(C37*D37*E37)</f>
        <v>0</v>
      </c>
      <c r="G37" s="184"/>
      <c r="H37" s="184">
        <f>F37*15%</f>
        <v>0</v>
      </c>
      <c r="I37" s="184">
        <f>(F37*16%)+(H37*16%)</f>
        <v>0</v>
      </c>
      <c r="J37" s="185">
        <f>I37+H37+G37+F37</f>
        <v>0</v>
      </c>
    </row>
    <row r="38" spans="1:10" s="41" customFormat="1" ht="46.5" customHeight="1">
      <c r="A38" s="482"/>
      <c r="B38" s="131" t="s">
        <v>315</v>
      </c>
      <c r="C38" s="186">
        <v>410</v>
      </c>
      <c r="D38" s="187">
        <v>0</v>
      </c>
      <c r="E38" s="183">
        <v>0</v>
      </c>
      <c r="F38" s="209">
        <f>SUM(C38*D38*E38)</f>
        <v>0</v>
      </c>
      <c r="G38" s="184"/>
      <c r="H38" s="184">
        <f>F38*15%</f>
        <v>0</v>
      </c>
      <c r="I38" s="184">
        <f>(F38*16%)+(H38*16%)</f>
        <v>0</v>
      </c>
      <c r="J38" s="185">
        <f>I38+H38+G38+F38</f>
        <v>0</v>
      </c>
    </row>
    <row r="39" spans="1:10" s="41" customFormat="1" ht="66.75" customHeight="1">
      <c r="A39" s="482"/>
      <c r="B39" s="267" t="s">
        <v>89</v>
      </c>
      <c r="C39" s="186">
        <v>410</v>
      </c>
      <c r="D39" s="187">
        <v>600</v>
      </c>
      <c r="E39" s="186">
        <v>1</v>
      </c>
      <c r="F39" s="187">
        <f>SUM(C39*D39*E39)</f>
        <v>246000</v>
      </c>
      <c r="G39" s="187"/>
      <c r="H39" s="187">
        <f>F39*15%</f>
        <v>36900</v>
      </c>
      <c r="I39" s="187">
        <f>(F39*16%)+(H39*16%)</f>
        <v>45264</v>
      </c>
      <c r="J39" s="188">
        <f>I39+H39+G39+F39</f>
        <v>328164</v>
      </c>
    </row>
    <row r="40" spans="1:10" s="41" customFormat="1" ht="49.5" customHeight="1">
      <c r="A40" s="482"/>
      <c r="B40" s="130" t="s">
        <v>316</v>
      </c>
      <c r="C40" s="186">
        <v>410</v>
      </c>
      <c r="D40" s="187">
        <v>665</v>
      </c>
      <c r="E40" s="186">
        <v>1</v>
      </c>
      <c r="F40" s="187">
        <f>SUM(C40*D40*E40)</f>
        <v>272650</v>
      </c>
      <c r="G40" s="187"/>
      <c r="H40" s="187">
        <f>F40*15%</f>
        <v>40897.5</v>
      </c>
      <c r="I40" s="187">
        <f>(F40*16%)+(H40*16%)</f>
        <v>50167.6</v>
      </c>
      <c r="J40" s="188">
        <f>I40+H40+G40+F40</f>
        <v>363715.1</v>
      </c>
    </row>
    <row r="41" spans="1:10" s="41" customFormat="1">
      <c r="A41" s="479" t="s">
        <v>92</v>
      </c>
      <c r="B41" s="128" t="s">
        <v>317</v>
      </c>
      <c r="C41" s="173">
        <v>410</v>
      </c>
      <c r="D41" s="174">
        <v>0</v>
      </c>
      <c r="E41" s="173">
        <v>1</v>
      </c>
      <c r="F41" s="174">
        <f>SUM(C41*D41*E41)</f>
        <v>0</v>
      </c>
      <c r="G41" s="174"/>
      <c r="H41" s="174">
        <f>F41*15%</f>
        <v>0</v>
      </c>
      <c r="I41" s="174">
        <f>(F41*16%)+(H41*16%)</f>
        <v>0</v>
      </c>
      <c r="J41" s="175">
        <f>I41+H41+G41+F41</f>
        <v>0</v>
      </c>
    </row>
    <row r="42" spans="1:10" s="41" customFormat="1" ht="36.75">
      <c r="A42" s="482"/>
      <c r="B42" s="129" t="s">
        <v>318</v>
      </c>
      <c r="C42" s="183">
        <v>410</v>
      </c>
      <c r="D42" s="184">
        <v>0</v>
      </c>
      <c r="E42" s="183">
        <v>1</v>
      </c>
      <c r="F42" s="209">
        <f>SUM(C42*D42*E42)</f>
        <v>0</v>
      </c>
      <c r="G42" s="184"/>
      <c r="H42" s="184">
        <f>F42*15%</f>
        <v>0</v>
      </c>
      <c r="I42" s="184">
        <f>(F42*16%)+(H42*16%)</f>
        <v>0</v>
      </c>
      <c r="J42" s="185">
        <f>I42+H42+G42+F42</f>
        <v>0</v>
      </c>
    </row>
    <row r="43" spans="1:10" s="41" customFormat="1" ht="36.75">
      <c r="A43" s="482"/>
      <c r="B43" s="131" t="s">
        <v>315</v>
      </c>
      <c r="C43" s="186">
        <v>410</v>
      </c>
      <c r="D43" s="187">
        <v>0</v>
      </c>
      <c r="E43" s="183">
        <v>0</v>
      </c>
      <c r="F43" s="209">
        <f>SUM(C43*D43*E43)</f>
        <v>0</v>
      </c>
      <c r="G43" s="184"/>
      <c r="H43" s="184">
        <f>F43*15%</f>
        <v>0</v>
      </c>
      <c r="I43" s="184">
        <f>(F43*16%)+(H43*16%)</f>
        <v>0</v>
      </c>
      <c r="J43" s="185">
        <f>I43+H43+G43+F43</f>
        <v>0</v>
      </c>
    </row>
    <row r="44" spans="1:10" s="41" customFormat="1" ht="24.75">
      <c r="A44" s="482"/>
      <c r="B44" s="129" t="s">
        <v>95</v>
      </c>
      <c r="C44" s="183">
        <v>410</v>
      </c>
      <c r="D44" s="184">
        <v>0</v>
      </c>
      <c r="E44" s="183">
        <v>1</v>
      </c>
      <c r="F44" s="209">
        <f>SUM(C44*D44*E44)</f>
        <v>0</v>
      </c>
      <c r="G44" s="184"/>
      <c r="H44" s="184">
        <f>F44*15%</f>
        <v>0</v>
      </c>
      <c r="I44" s="184">
        <f>(F44*16%)+(H44*16%)</f>
        <v>0</v>
      </c>
      <c r="J44" s="185">
        <f>I44+H44+G44+F44</f>
        <v>0</v>
      </c>
    </row>
    <row r="45" spans="1:10" s="41" customFormat="1" ht="42" customHeight="1">
      <c r="A45" s="482"/>
      <c r="B45" s="131" t="s">
        <v>319</v>
      </c>
      <c r="C45" s="186">
        <v>410</v>
      </c>
      <c r="D45" s="187">
        <v>0</v>
      </c>
      <c r="E45" s="186">
        <v>0</v>
      </c>
      <c r="F45" s="209"/>
      <c r="G45" s="184"/>
      <c r="H45" s="184"/>
      <c r="I45" s="184"/>
      <c r="J45" s="185"/>
    </row>
    <row r="46" spans="1:10" s="41" customFormat="1" ht="49.9" customHeight="1">
      <c r="A46" s="482"/>
      <c r="B46" s="131" t="s">
        <v>97</v>
      </c>
      <c r="C46" s="186">
        <v>410</v>
      </c>
      <c r="D46" s="187">
        <v>0</v>
      </c>
      <c r="E46" s="186">
        <v>1</v>
      </c>
      <c r="F46" s="184">
        <f>SUM(C46*D46*E46)</f>
        <v>0</v>
      </c>
      <c r="G46" s="184"/>
      <c r="H46" s="184">
        <f>F46*15%</f>
        <v>0</v>
      </c>
      <c r="I46" s="184">
        <f>(F46*16%)+(H46*16%)</f>
        <v>0</v>
      </c>
      <c r="J46" s="185">
        <f>I46+H46+G46+F46</f>
        <v>0</v>
      </c>
    </row>
    <row r="47" spans="1:10" s="41" customFormat="1">
      <c r="A47" s="460" t="s">
        <v>98</v>
      </c>
      <c r="B47" s="128" t="s">
        <v>168</v>
      </c>
      <c r="C47" s="173">
        <v>410</v>
      </c>
      <c r="D47" s="174">
        <v>0</v>
      </c>
      <c r="E47" s="173"/>
      <c r="F47" s="174">
        <f>SUM(C47*D47*E47)</f>
        <v>0</v>
      </c>
      <c r="G47" s="174"/>
      <c r="H47" s="174">
        <f>F47*15%</f>
        <v>0</v>
      </c>
      <c r="I47" s="174">
        <f>(F47*16%)+(H47*16%)</f>
        <v>0</v>
      </c>
      <c r="J47" s="175">
        <f>I47+H47+G47+F47</f>
        <v>0</v>
      </c>
    </row>
    <row r="48" spans="1:10" s="41" customFormat="1" ht="48.75" customHeight="1">
      <c r="A48" s="461"/>
      <c r="B48" s="129" t="s">
        <v>320</v>
      </c>
      <c r="C48" s="183">
        <v>410</v>
      </c>
      <c r="D48" s="184">
        <v>0</v>
      </c>
      <c r="E48" s="183">
        <v>1</v>
      </c>
      <c r="F48" s="209">
        <f>SUM(C48*D48*E48)</f>
        <v>0</v>
      </c>
      <c r="G48" s="184"/>
      <c r="H48" s="184">
        <f>F48*15%</f>
        <v>0</v>
      </c>
      <c r="I48" s="184">
        <f>(F48*16%)+(H48*16%)</f>
        <v>0</v>
      </c>
      <c r="J48" s="185">
        <f>I48+H48+G48+F48</f>
        <v>0</v>
      </c>
    </row>
    <row r="49" spans="1:10" s="41" customFormat="1" ht="36.75">
      <c r="A49" s="461"/>
      <c r="B49" s="131" t="s">
        <v>315</v>
      </c>
      <c r="C49" s="186">
        <v>410</v>
      </c>
      <c r="D49" s="187">
        <v>0</v>
      </c>
      <c r="E49" s="186">
        <v>0</v>
      </c>
      <c r="F49" s="211">
        <f>SUM(C49*D49*E49)</f>
        <v>0</v>
      </c>
      <c r="G49" s="187"/>
      <c r="H49" s="187">
        <f>F49*15%</f>
        <v>0</v>
      </c>
      <c r="I49" s="187">
        <f>(F49*16%)+(H49*16%)</f>
        <v>0</v>
      </c>
      <c r="J49" s="188">
        <f>I49+H49+G49+F49</f>
        <v>0</v>
      </c>
    </row>
    <row r="50" spans="1:10" s="41" customFormat="1" ht="24.75">
      <c r="A50" s="461"/>
      <c r="B50" s="129" t="s">
        <v>321</v>
      </c>
      <c r="C50" s="183">
        <v>410</v>
      </c>
      <c r="D50" s="184">
        <v>0</v>
      </c>
      <c r="E50" s="183">
        <v>1</v>
      </c>
      <c r="F50" s="184">
        <f>SUM(C50*D50*E50)</f>
        <v>0</v>
      </c>
      <c r="G50" s="184"/>
      <c r="H50" s="184">
        <f>F50*15%</f>
        <v>0</v>
      </c>
      <c r="I50" s="184">
        <f>(F50*16%)+(H50*16%)</f>
        <v>0</v>
      </c>
      <c r="J50" s="185">
        <f>I50+H50+G50+F50</f>
        <v>0</v>
      </c>
    </row>
    <row r="51" spans="1:10" s="41" customFormat="1" ht="37.5" customHeight="1">
      <c r="A51" s="461"/>
      <c r="B51" s="132" t="s">
        <v>322</v>
      </c>
      <c r="C51" s="183">
        <v>410</v>
      </c>
      <c r="D51" s="184">
        <v>475</v>
      </c>
      <c r="E51" s="183">
        <v>1</v>
      </c>
      <c r="F51" s="184">
        <f>SUM(C51*D51*E51)</f>
        <v>194750</v>
      </c>
      <c r="G51" s="184"/>
      <c r="H51" s="184">
        <f>F51*15%</f>
        <v>29212.5</v>
      </c>
      <c r="I51" s="184">
        <f>(F51*16%)+(H51*16%)</f>
        <v>35834</v>
      </c>
      <c r="J51" s="185">
        <f>I51+H51+G51+F51</f>
        <v>259796.5</v>
      </c>
    </row>
    <row r="52" spans="1:10" s="41" customFormat="1">
      <c r="A52" s="189" t="s">
        <v>101</v>
      </c>
      <c r="B52" s="127" t="s">
        <v>93</v>
      </c>
      <c r="C52" s="212">
        <v>410</v>
      </c>
      <c r="D52" s="213">
        <v>0</v>
      </c>
      <c r="E52" s="212">
        <v>1</v>
      </c>
      <c r="F52" s="213">
        <f>SUM(C52*D52*E52)</f>
        <v>0</v>
      </c>
      <c r="G52" s="213"/>
      <c r="H52" s="213">
        <f>F52*15%</f>
        <v>0</v>
      </c>
      <c r="I52" s="213">
        <f>(F52*16%)+(H52*16%)</f>
        <v>0</v>
      </c>
      <c r="J52" s="214">
        <f>I52+H52+G52+F52</f>
        <v>0</v>
      </c>
    </row>
    <row r="53" spans="1:10">
      <c r="A53" s="203"/>
      <c r="B53" s="215" t="s">
        <v>78</v>
      </c>
      <c r="C53" s="196"/>
      <c r="D53" s="197"/>
      <c r="E53" s="196"/>
      <c r="F53" s="198">
        <f>SUM(F33:F52)</f>
        <v>713400</v>
      </c>
      <c r="G53" s="198">
        <f>SUM(G33:G52)</f>
        <v>0</v>
      </c>
      <c r="H53" s="198">
        <f>SUM(H33:H52)</f>
        <v>107010</v>
      </c>
      <c r="I53" s="198">
        <f>SUM(I33:I52)</f>
        <v>131265.60000000001</v>
      </c>
      <c r="J53" s="198">
        <f>SUM(J33:J52)</f>
        <v>951675.6</v>
      </c>
    </row>
    <row r="54" spans="1:10">
      <c r="A54" s="199"/>
      <c r="B54" s="200" t="s">
        <v>102</v>
      </c>
      <c r="C54" s="201"/>
      <c r="D54" s="202"/>
      <c r="E54" s="201"/>
      <c r="F54" s="202">
        <f>F53</f>
        <v>713400</v>
      </c>
      <c r="G54" s="202">
        <f>G53</f>
        <v>0</v>
      </c>
      <c r="H54" s="202">
        <f>H53</f>
        <v>107010</v>
      </c>
      <c r="I54" s="202">
        <f>I53</f>
        <v>131265.60000000001</v>
      </c>
      <c r="J54" s="202">
        <f>J53</f>
        <v>951675.6</v>
      </c>
    </row>
    <row r="55" spans="1:10">
      <c r="A55" s="203"/>
      <c r="B55" s="204"/>
      <c r="C55" s="196"/>
      <c r="D55" s="197"/>
      <c r="E55" s="196"/>
      <c r="F55" s="197"/>
      <c r="G55" s="197"/>
      <c r="H55" s="197"/>
      <c r="I55" s="197"/>
      <c r="J55" s="197"/>
    </row>
    <row r="56" spans="1:10">
      <c r="A56" s="203"/>
      <c r="B56" s="204"/>
      <c r="C56" s="196"/>
      <c r="D56" s="197"/>
      <c r="E56" s="196"/>
      <c r="F56" s="197"/>
      <c r="G56" s="197"/>
      <c r="H56" s="197"/>
      <c r="I56" s="197"/>
      <c r="J56" s="197"/>
    </row>
    <row r="57" spans="1:10">
      <c r="A57" s="477" t="s">
        <v>103</v>
      </c>
      <c r="B57" s="478"/>
      <c r="C57" s="167"/>
      <c r="D57" s="167"/>
      <c r="E57" s="167"/>
      <c r="F57" s="167"/>
      <c r="G57" s="167"/>
      <c r="H57" s="167"/>
      <c r="I57" s="167"/>
      <c r="J57" s="167"/>
    </row>
    <row r="58" spans="1:10">
      <c r="A58" s="216" t="s">
        <v>62</v>
      </c>
      <c r="B58" s="169" t="s">
        <v>13</v>
      </c>
      <c r="C58" s="170" t="s">
        <v>63</v>
      </c>
      <c r="D58" s="170" t="s">
        <v>64</v>
      </c>
      <c r="E58" s="170" t="s">
        <v>65</v>
      </c>
      <c r="F58" s="170" t="s">
        <v>66</v>
      </c>
      <c r="G58" s="170" t="s">
        <v>27</v>
      </c>
      <c r="H58" s="170" t="s">
        <v>68</v>
      </c>
      <c r="I58" s="170" t="s">
        <v>69</v>
      </c>
      <c r="J58" s="171" t="s">
        <v>70</v>
      </c>
    </row>
    <row r="59" spans="1:10">
      <c r="A59" s="460"/>
      <c r="B59" s="172" t="s">
        <v>104</v>
      </c>
      <c r="C59" s="173">
        <v>12</v>
      </c>
      <c r="D59" s="174">
        <v>2096</v>
      </c>
      <c r="E59" s="173">
        <v>1</v>
      </c>
      <c r="F59" s="174">
        <v>25152</v>
      </c>
      <c r="G59" s="174"/>
      <c r="H59" s="174">
        <v>1509.12</v>
      </c>
      <c r="I59" s="174">
        <v>4024.32</v>
      </c>
      <c r="J59" s="175">
        <v>30685.440000000002</v>
      </c>
    </row>
    <row r="60" spans="1:10">
      <c r="A60" s="461"/>
      <c r="B60" s="132" t="s">
        <v>105</v>
      </c>
      <c r="C60" s="183">
        <v>15</v>
      </c>
      <c r="D60" s="184">
        <v>3137</v>
      </c>
      <c r="E60" s="183">
        <v>1</v>
      </c>
      <c r="F60" s="184">
        <v>47055</v>
      </c>
      <c r="G60" s="184"/>
      <c r="H60" s="184">
        <v>2823.2999999999997</v>
      </c>
      <c r="I60" s="184">
        <v>7528.8</v>
      </c>
      <c r="J60" s="185">
        <v>57407.1</v>
      </c>
    </row>
    <row r="61" spans="1:10">
      <c r="A61" s="461"/>
      <c r="B61" s="132" t="s">
        <v>106</v>
      </c>
      <c r="C61" s="183">
        <v>1</v>
      </c>
      <c r="D61" s="184">
        <v>17205</v>
      </c>
      <c r="E61" s="183">
        <v>1</v>
      </c>
      <c r="F61" s="184">
        <v>17205</v>
      </c>
      <c r="G61" s="184"/>
      <c r="H61" s="184">
        <v>1032.3</v>
      </c>
      <c r="I61" s="184">
        <v>2752.8</v>
      </c>
      <c r="J61" s="185">
        <v>20990.1</v>
      </c>
    </row>
    <row r="62" spans="1:10">
      <c r="A62" s="461"/>
      <c r="B62" s="132" t="s">
        <v>107</v>
      </c>
      <c r="C62" s="183">
        <v>1</v>
      </c>
      <c r="D62" s="184">
        <v>18901</v>
      </c>
      <c r="E62" s="183">
        <v>1</v>
      </c>
      <c r="F62" s="184">
        <v>18901</v>
      </c>
      <c r="G62" s="184"/>
      <c r="H62" s="184">
        <v>1134.06</v>
      </c>
      <c r="I62" s="184">
        <v>3024.16</v>
      </c>
      <c r="J62" s="185">
        <v>23059.22</v>
      </c>
    </row>
    <row r="63" spans="1:10">
      <c r="A63" s="461"/>
      <c r="B63" s="130" t="s">
        <v>108</v>
      </c>
      <c r="C63" s="183">
        <v>1</v>
      </c>
      <c r="D63" s="187">
        <v>21011</v>
      </c>
      <c r="E63" s="183">
        <v>1</v>
      </c>
      <c r="F63" s="184">
        <v>21011</v>
      </c>
      <c r="G63" s="184"/>
      <c r="H63" s="184">
        <v>1260.6599999999999</v>
      </c>
      <c r="I63" s="184">
        <v>3361.76</v>
      </c>
      <c r="J63" s="185">
        <v>25633.42</v>
      </c>
    </row>
    <row r="64" spans="1:10">
      <c r="A64" s="461"/>
      <c r="B64" s="130" t="s">
        <v>109</v>
      </c>
      <c r="C64" s="183">
        <v>9</v>
      </c>
      <c r="D64" s="187">
        <v>2096</v>
      </c>
      <c r="E64" s="183">
        <v>1</v>
      </c>
      <c r="F64" s="184">
        <v>18864</v>
      </c>
      <c r="G64" s="184"/>
      <c r="H64" s="184">
        <v>1131.8399999999999</v>
      </c>
      <c r="I64" s="184">
        <v>3018.2400000000002</v>
      </c>
      <c r="J64" s="185">
        <v>23014.080000000002</v>
      </c>
    </row>
    <row r="65" spans="1:14">
      <c r="A65" s="462"/>
      <c r="B65" s="177" t="s">
        <v>110</v>
      </c>
      <c r="C65" s="178">
        <v>17</v>
      </c>
      <c r="D65" s="179">
        <v>3137</v>
      </c>
      <c r="E65" s="178">
        <v>1</v>
      </c>
      <c r="F65" s="179">
        <v>53329</v>
      </c>
      <c r="G65" s="179"/>
      <c r="H65" s="179">
        <v>3199.74</v>
      </c>
      <c r="I65" s="179">
        <v>8532.64</v>
      </c>
      <c r="J65" s="180">
        <v>65061.38</v>
      </c>
    </row>
    <row r="66" spans="1:14">
      <c r="A66" s="460"/>
      <c r="B66" s="217" t="s">
        <v>111</v>
      </c>
      <c r="C66" s="173">
        <v>1</v>
      </c>
      <c r="D66" s="174">
        <v>18901</v>
      </c>
      <c r="E66" s="173">
        <v>1</v>
      </c>
      <c r="F66" s="174">
        <v>18901</v>
      </c>
      <c r="G66" s="174"/>
      <c r="H66" s="174">
        <v>1134.06</v>
      </c>
      <c r="I66" s="174">
        <v>3024.16</v>
      </c>
      <c r="J66" s="175">
        <v>23059.22</v>
      </c>
    </row>
    <row r="67" spans="1:14">
      <c r="A67" s="462"/>
      <c r="B67" s="218" t="s">
        <v>112</v>
      </c>
      <c r="C67" s="206">
        <v>2</v>
      </c>
      <c r="D67" s="207">
        <v>21011</v>
      </c>
      <c r="E67" s="206">
        <v>1</v>
      </c>
      <c r="F67" s="207">
        <v>42022</v>
      </c>
      <c r="G67" s="207"/>
      <c r="H67" s="207">
        <v>2521.3199999999997</v>
      </c>
      <c r="I67" s="207">
        <v>6723.52</v>
      </c>
      <c r="J67" s="208">
        <v>51266.84</v>
      </c>
    </row>
    <row r="68" spans="1:14">
      <c r="A68" s="203"/>
      <c r="B68" s="215" t="s">
        <v>78</v>
      </c>
      <c r="C68" s="196"/>
      <c r="D68" s="197"/>
      <c r="E68" s="196"/>
      <c r="F68" s="219">
        <f>SUM(F59:F67)</f>
        <v>262440</v>
      </c>
      <c r="G68" s="219">
        <f>SUM(G59:G67)</f>
        <v>0</v>
      </c>
      <c r="H68" s="219">
        <f>SUM(H59:H67)</f>
        <v>15746.4</v>
      </c>
      <c r="I68" s="219">
        <f>SUM(I59:I67)</f>
        <v>41990.400000000009</v>
      </c>
      <c r="J68" s="219">
        <f>SUM(J59:J67)</f>
        <v>320176.80000000005</v>
      </c>
    </row>
    <row r="69" spans="1:14">
      <c r="A69" s="199"/>
      <c r="B69" s="200" t="s">
        <v>113</v>
      </c>
      <c r="C69" s="201"/>
      <c r="D69" s="202"/>
      <c r="E69" s="201"/>
      <c r="F69" s="202">
        <f>F68</f>
        <v>262440</v>
      </c>
      <c r="G69" s="202">
        <f>G68</f>
        <v>0</v>
      </c>
      <c r="H69" s="202">
        <f>H68</f>
        <v>15746.4</v>
      </c>
      <c r="I69" s="202">
        <f>I68</f>
        <v>41990.400000000009</v>
      </c>
      <c r="J69" s="220">
        <f>J68</f>
        <v>320176.80000000005</v>
      </c>
    </row>
    <row r="70" spans="1:14">
      <c r="A70" s="199"/>
      <c r="B70" s="204"/>
      <c r="C70" s="196"/>
      <c r="D70" s="197"/>
      <c r="E70" s="196"/>
      <c r="F70" s="197"/>
      <c r="G70" s="197"/>
      <c r="H70" s="197"/>
      <c r="I70" s="197"/>
      <c r="J70" s="197"/>
    </row>
    <row r="71" spans="1:14">
      <c r="A71" s="477" t="s">
        <v>114</v>
      </c>
      <c r="B71" s="478"/>
      <c r="C71" s="167"/>
      <c r="D71" s="167"/>
      <c r="E71" s="167"/>
      <c r="F71" s="167"/>
      <c r="G71" s="167"/>
      <c r="H71" s="167"/>
      <c r="I71" s="167"/>
      <c r="J71" s="167"/>
    </row>
    <row r="72" spans="1:14">
      <c r="A72" s="221" t="s">
        <v>62</v>
      </c>
      <c r="B72" s="222" t="s">
        <v>13</v>
      </c>
      <c r="C72" s="223" t="s">
        <v>63</v>
      </c>
      <c r="D72" s="223" t="s">
        <v>64</v>
      </c>
      <c r="E72" s="223" t="s">
        <v>65</v>
      </c>
      <c r="F72" s="223" t="s">
        <v>66</v>
      </c>
      <c r="G72" s="223" t="s">
        <v>27</v>
      </c>
      <c r="H72" s="223" t="s">
        <v>68</v>
      </c>
      <c r="I72" s="223" t="s">
        <v>69</v>
      </c>
      <c r="J72" s="224" t="s">
        <v>70</v>
      </c>
    </row>
    <row r="73" spans="1:14" s="41" customFormat="1">
      <c r="A73" s="210"/>
      <c r="B73" s="130"/>
      <c r="C73" s="186"/>
      <c r="D73" s="187"/>
      <c r="E73" s="186"/>
      <c r="F73" s="187"/>
      <c r="G73" s="187"/>
      <c r="H73" s="187"/>
      <c r="I73" s="187"/>
      <c r="J73" s="188"/>
    </row>
    <row r="74" spans="1:14" s="41" customFormat="1">
      <c r="A74" s="210"/>
      <c r="B74" s="130"/>
      <c r="C74" s="186"/>
      <c r="D74" s="187"/>
      <c r="E74" s="186"/>
      <c r="F74" s="187"/>
      <c r="G74" s="187"/>
      <c r="H74" s="187"/>
      <c r="I74" s="187"/>
      <c r="J74" s="188"/>
    </row>
    <row r="75" spans="1:14" s="41" customFormat="1">
      <c r="A75" s="205"/>
      <c r="B75" s="177"/>
      <c r="C75" s="178"/>
      <c r="D75" s="179"/>
      <c r="E75" s="178"/>
      <c r="F75" s="179">
        <f>E75+D75+C75</f>
        <v>0</v>
      </c>
      <c r="G75" s="179"/>
      <c r="H75" s="179"/>
      <c r="I75" s="179">
        <f>F75*16%</f>
        <v>0</v>
      </c>
      <c r="J75" s="180">
        <f>I75+H75+G75+F75</f>
        <v>0</v>
      </c>
    </row>
    <row r="76" spans="1:14">
      <c r="A76" s="203"/>
      <c r="B76" s="215" t="s">
        <v>78</v>
      </c>
      <c r="C76" s="196"/>
      <c r="D76" s="197"/>
      <c r="E76" s="196"/>
      <c r="F76" s="198">
        <f>SUM(F73:F75)</f>
        <v>0</v>
      </c>
      <c r="G76" s="198">
        <f>SUM(G73:G75)</f>
        <v>0</v>
      </c>
      <c r="H76" s="198">
        <f>SUM(H73:H75)</f>
        <v>0</v>
      </c>
      <c r="I76" s="198">
        <f>SUM(I73:I75)</f>
        <v>0</v>
      </c>
      <c r="J76" s="198">
        <f>SUM(J73:J75)</f>
        <v>0</v>
      </c>
    </row>
    <row r="77" spans="1:14">
      <c r="A77" s="199"/>
      <c r="B77" s="200" t="s">
        <v>323</v>
      </c>
      <c r="C77" s="201"/>
      <c r="D77" s="202"/>
      <c r="E77" s="201"/>
      <c r="F77" s="202">
        <f>SUM(F76)</f>
        <v>0</v>
      </c>
      <c r="G77" s="202">
        <f>SUM(G76)</f>
        <v>0</v>
      </c>
      <c r="H77" s="202">
        <f>SUM(H76)</f>
        <v>0</v>
      </c>
      <c r="I77" s="202">
        <f>SUM(I76)</f>
        <v>0</v>
      </c>
      <c r="J77" s="202">
        <f>SUM(J76)</f>
        <v>0</v>
      </c>
    </row>
    <row r="78" spans="1:14">
      <c r="A78" s="199"/>
      <c r="B78" s="204"/>
      <c r="C78" s="196"/>
      <c r="D78" s="197"/>
      <c r="E78" s="196"/>
      <c r="F78" s="197"/>
      <c r="G78" s="197"/>
      <c r="H78" s="197"/>
      <c r="I78" s="197"/>
      <c r="J78" s="197"/>
      <c r="N78" t="s">
        <v>116</v>
      </c>
    </row>
    <row r="79" spans="1:14">
      <c r="A79" s="477" t="s">
        <v>117</v>
      </c>
      <c r="B79" s="478"/>
      <c r="C79" s="167"/>
      <c r="D79" s="167"/>
      <c r="E79" s="167"/>
      <c r="F79" s="167"/>
      <c r="G79" s="167"/>
      <c r="H79" s="167"/>
      <c r="I79" s="167"/>
      <c r="J79" s="167"/>
    </row>
    <row r="80" spans="1:14">
      <c r="A80" s="168" t="s">
        <v>62</v>
      </c>
      <c r="B80" s="169" t="s">
        <v>13</v>
      </c>
      <c r="C80" s="170" t="s">
        <v>63</v>
      </c>
      <c r="D80" s="170" t="s">
        <v>64</v>
      </c>
      <c r="E80" s="170" t="s">
        <v>65</v>
      </c>
      <c r="F80" s="170" t="s">
        <v>66</v>
      </c>
      <c r="G80" s="170" t="s">
        <v>27</v>
      </c>
      <c r="H80" s="170" t="s">
        <v>68</v>
      </c>
      <c r="I80" s="170" t="s">
        <v>69</v>
      </c>
      <c r="J80" s="171" t="s">
        <v>70</v>
      </c>
      <c r="N80" t="s">
        <v>116</v>
      </c>
    </row>
    <row r="81" spans="1:10" s="41" customFormat="1" ht="24.75">
      <c r="A81" s="460" t="s">
        <v>324</v>
      </c>
      <c r="B81" s="172" t="s">
        <v>118</v>
      </c>
      <c r="C81" s="173">
        <v>410</v>
      </c>
      <c r="D81" s="174">
        <v>120</v>
      </c>
      <c r="E81" s="173">
        <v>0</v>
      </c>
      <c r="F81" s="174">
        <f>SUM(C81*D81*E81)</f>
        <v>0</v>
      </c>
      <c r="G81" s="174"/>
      <c r="H81" s="174"/>
      <c r="I81" s="174">
        <f>F81*16%</f>
        <v>0</v>
      </c>
      <c r="J81" s="175">
        <f>I81+H81+G81+F81</f>
        <v>0</v>
      </c>
    </row>
    <row r="82" spans="1:10" s="41" customFormat="1" ht="63.75" customHeight="1">
      <c r="A82" s="461"/>
      <c r="B82" s="132" t="s">
        <v>325</v>
      </c>
      <c r="C82" s="183">
        <v>1</v>
      </c>
      <c r="D82" s="184">
        <v>20000</v>
      </c>
      <c r="E82" s="183">
        <v>0</v>
      </c>
      <c r="F82" s="184">
        <f>SUM(C82*D82*E82)</f>
        <v>0</v>
      </c>
      <c r="G82" s="184"/>
      <c r="H82" s="184"/>
      <c r="I82" s="184">
        <f>F82*16%</f>
        <v>0</v>
      </c>
      <c r="J82" s="185">
        <f>I82+H82+G82+F82</f>
        <v>0</v>
      </c>
    </row>
    <row r="83" spans="1:10" s="41" customFormat="1" ht="54" customHeight="1">
      <c r="A83" s="189" t="s">
        <v>71</v>
      </c>
      <c r="B83" s="127" t="s">
        <v>326</v>
      </c>
      <c r="C83" s="212">
        <v>1</v>
      </c>
      <c r="D83" s="213">
        <v>0</v>
      </c>
      <c r="E83" s="212">
        <v>1</v>
      </c>
      <c r="F83" s="213">
        <f>SUM(C83*D83*E83)</f>
        <v>0</v>
      </c>
      <c r="G83" s="213"/>
      <c r="H83" s="213"/>
      <c r="I83" s="213">
        <f>F83*16%</f>
        <v>0</v>
      </c>
      <c r="J83" s="214">
        <f>I83+H83+G83+F83</f>
        <v>0</v>
      </c>
    </row>
    <row r="84" spans="1:10" s="41" customFormat="1" ht="24.75">
      <c r="A84" s="176" t="s">
        <v>125</v>
      </c>
      <c r="B84" s="126" t="s">
        <v>327</v>
      </c>
      <c r="C84" s="206">
        <v>1</v>
      </c>
      <c r="D84" s="207">
        <v>0</v>
      </c>
      <c r="E84" s="206">
        <v>3</v>
      </c>
      <c r="F84" s="207">
        <f>SUM(C84*D84*E84)</f>
        <v>0</v>
      </c>
      <c r="G84" s="207"/>
      <c r="H84" s="207"/>
      <c r="I84" s="207">
        <f>F84*16%</f>
        <v>0</v>
      </c>
      <c r="J84" s="208">
        <f>I84+H84+G84+F84</f>
        <v>0</v>
      </c>
    </row>
    <row r="85" spans="1:10" s="41" customFormat="1" ht="36.75">
      <c r="A85" s="460" t="s">
        <v>328</v>
      </c>
      <c r="B85" s="128" t="s">
        <v>329</v>
      </c>
      <c r="C85" s="173">
        <v>1</v>
      </c>
      <c r="D85" s="174">
        <v>0</v>
      </c>
      <c r="E85" s="173">
        <v>2</v>
      </c>
      <c r="F85" s="174">
        <f>SUM(C85*D85*E85)</f>
        <v>0</v>
      </c>
      <c r="G85" s="174"/>
      <c r="H85" s="174"/>
      <c r="I85" s="174">
        <f>F85*16%</f>
        <v>0</v>
      </c>
      <c r="J85" s="175">
        <f>I85+H85+G85+F85</f>
        <v>0</v>
      </c>
    </row>
    <row r="86" spans="1:10" s="41" customFormat="1" ht="36.75">
      <c r="A86" s="461"/>
      <c r="B86" s="129" t="s">
        <v>330</v>
      </c>
      <c r="C86" s="183">
        <v>1</v>
      </c>
      <c r="D86" s="184">
        <v>0</v>
      </c>
      <c r="E86" s="183">
        <v>2</v>
      </c>
      <c r="F86" s="184">
        <f>SUM(C86*D86*E86)</f>
        <v>0</v>
      </c>
      <c r="G86" s="184"/>
      <c r="H86" s="184"/>
      <c r="I86" s="184">
        <f>F86*16%</f>
        <v>0</v>
      </c>
      <c r="J86" s="185">
        <f>I86+H86+G86+F86</f>
        <v>0</v>
      </c>
    </row>
    <row r="87" spans="1:10" s="41" customFormat="1" ht="36.75">
      <c r="A87" s="461"/>
      <c r="B87" s="129" t="s">
        <v>331</v>
      </c>
      <c r="C87" s="183">
        <v>1</v>
      </c>
      <c r="D87" s="184">
        <v>0</v>
      </c>
      <c r="E87" s="183">
        <v>2</v>
      </c>
      <c r="F87" s="184">
        <f>SUM(C87*D87*E87)</f>
        <v>0</v>
      </c>
      <c r="G87" s="184"/>
      <c r="H87" s="184"/>
      <c r="I87" s="184">
        <f>F87*16%</f>
        <v>0</v>
      </c>
      <c r="J87" s="185">
        <f>I87+H87+G87+F87</f>
        <v>0</v>
      </c>
    </row>
    <row r="88" spans="1:10" s="41" customFormat="1" ht="41.25" customHeight="1">
      <c r="A88" s="461"/>
      <c r="B88" s="129" t="s">
        <v>332</v>
      </c>
      <c r="C88" s="183">
        <v>1</v>
      </c>
      <c r="D88" s="184">
        <v>0</v>
      </c>
      <c r="E88" s="183">
        <v>2</v>
      </c>
      <c r="F88" s="184">
        <f>SUM(C88*D88*E88)</f>
        <v>0</v>
      </c>
      <c r="G88" s="184"/>
      <c r="H88" s="184"/>
      <c r="I88" s="184">
        <f>F88*16%</f>
        <v>0</v>
      </c>
      <c r="J88" s="185">
        <f>I88+H88+G88+F88</f>
        <v>0</v>
      </c>
    </row>
    <row r="89" spans="1:10" s="41" customFormat="1" ht="41.25" customHeight="1">
      <c r="A89" s="461"/>
      <c r="B89" s="129" t="s">
        <v>333</v>
      </c>
      <c r="C89" s="183">
        <v>1</v>
      </c>
      <c r="D89" s="184">
        <v>0</v>
      </c>
      <c r="E89" s="183">
        <v>2</v>
      </c>
      <c r="F89" s="184">
        <f>SUM(C89*D89*E89)</f>
        <v>0</v>
      </c>
      <c r="G89" s="184"/>
      <c r="H89" s="184"/>
      <c r="I89" s="184">
        <f>F89*16%</f>
        <v>0</v>
      </c>
      <c r="J89" s="185">
        <f>I89+H89+G89+F89</f>
        <v>0</v>
      </c>
    </row>
    <row r="90" spans="1:10" s="41" customFormat="1" ht="36.75">
      <c r="A90" s="461"/>
      <c r="B90" s="129" t="s">
        <v>334</v>
      </c>
      <c r="C90" s="183">
        <v>1</v>
      </c>
      <c r="D90" s="184">
        <v>0</v>
      </c>
      <c r="E90" s="183">
        <v>2</v>
      </c>
      <c r="F90" s="184">
        <f>SUM(C90*D90*E90)</f>
        <v>0</v>
      </c>
      <c r="G90" s="184"/>
      <c r="H90" s="184"/>
      <c r="I90" s="184">
        <f>F90*16%</f>
        <v>0</v>
      </c>
      <c r="J90" s="185">
        <f>I90+H90+G90+F90</f>
        <v>0</v>
      </c>
    </row>
    <row r="91" spans="1:10" s="41" customFormat="1" ht="36.75">
      <c r="A91" s="462"/>
      <c r="B91" s="244" t="s">
        <v>335</v>
      </c>
      <c r="C91" s="178">
        <v>1</v>
      </c>
      <c r="D91" s="179">
        <v>0</v>
      </c>
      <c r="E91" s="178">
        <v>2</v>
      </c>
      <c r="F91" s="179">
        <f>SUM(C91*D91*E91)</f>
        <v>0</v>
      </c>
      <c r="G91" s="179"/>
      <c r="H91" s="179"/>
      <c r="I91" s="179">
        <f>F91*16%</f>
        <v>0</v>
      </c>
      <c r="J91" s="180">
        <f>I91+H91+G91+F91</f>
        <v>0</v>
      </c>
    </row>
    <row r="92" spans="1:10">
      <c r="A92" s="203"/>
      <c r="B92" s="215" t="s">
        <v>78</v>
      </c>
      <c r="C92" s="196"/>
      <c r="D92" s="197"/>
      <c r="E92" s="196"/>
      <c r="F92" s="226">
        <f>SUM(F81:F91)</f>
        <v>0</v>
      </c>
      <c r="G92" s="226">
        <f>SUM(G81:G91)</f>
        <v>0</v>
      </c>
      <c r="H92" s="226">
        <f>SUM(H81:H91)</f>
        <v>0</v>
      </c>
      <c r="I92" s="226">
        <f>SUM(I81:I91)</f>
        <v>0</v>
      </c>
      <c r="J92" s="226">
        <f>SUM(J81:J91)</f>
        <v>0</v>
      </c>
    </row>
    <row r="93" spans="1:10">
      <c r="A93" s="199"/>
      <c r="B93" s="200" t="s">
        <v>135</v>
      </c>
      <c r="C93" s="201"/>
      <c r="D93" s="202"/>
      <c r="E93" s="201"/>
      <c r="F93" s="202">
        <f>F92</f>
        <v>0</v>
      </c>
      <c r="G93" s="202">
        <f>G92</f>
        <v>0</v>
      </c>
      <c r="H93" s="202">
        <f>H92</f>
        <v>0</v>
      </c>
      <c r="I93" s="202">
        <f>I92</f>
        <v>0</v>
      </c>
      <c r="J93" s="220">
        <f>J92</f>
        <v>0</v>
      </c>
    </row>
    <row r="94" spans="1:10">
      <c r="A94" s="199"/>
      <c r="B94" s="204"/>
      <c r="C94" s="196"/>
      <c r="D94" s="197"/>
      <c r="E94" s="196"/>
      <c r="F94" s="197"/>
      <c r="G94" s="197"/>
      <c r="H94" s="197"/>
      <c r="I94" s="197"/>
      <c r="J94" s="197"/>
    </row>
    <row r="95" spans="1:10">
      <c r="A95" s="477" t="s">
        <v>136</v>
      </c>
      <c r="B95" s="478"/>
      <c r="C95" s="167"/>
      <c r="D95" s="167"/>
      <c r="E95" s="167"/>
      <c r="F95" s="167"/>
      <c r="G95" s="167"/>
      <c r="H95" s="167"/>
      <c r="I95" s="167"/>
      <c r="J95" s="167"/>
    </row>
    <row r="96" spans="1:10">
      <c r="A96" s="168" t="s">
        <v>62</v>
      </c>
      <c r="B96" s="169" t="s">
        <v>13</v>
      </c>
      <c r="C96" s="170" t="s">
        <v>63</v>
      </c>
      <c r="D96" s="170" t="s">
        <v>64</v>
      </c>
      <c r="E96" s="170" t="s">
        <v>65</v>
      </c>
      <c r="F96" s="170" t="s">
        <v>66</v>
      </c>
      <c r="G96" s="170" t="s">
        <v>27</v>
      </c>
      <c r="H96" s="170" t="s">
        <v>68</v>
      </c>
      <c r="I96" s="170" t="s">
        <v>69</v>
      </c>
      <c r="J96" s="171" t="s">
        <v>70</v>
      </c>
    </row>
    <row r="97" spans="1:10" s="41" customFormat="1" ht="24.75">
      <c r="A97" s="479" t="s">
        <v>137</v>
      </c>
      <c r="B97" s="172" t="s">
        <v>138</v>
      </c>
      <c r="C97" s="173">
        <v>4</v>
      </c>
      <c r="D97" s="174">
        <v>7926.2</v>
      </c>
      <c r="E97" s="173">
        <v>5</v>
      </c>
      <c r="F97" s="174">
        <f>SUM(C97*D97*E97)</f>
        <v>158524</v>
      </c>
      <c r="G97" s="174">
        <f>198.2*C97*E97</f>
        <v>3964</v>
      </c>
      <c r="H97" s="174">
        <f>431.3*C97*E97</f>
        <v>8626</v>
      </c>
      <c r="I97" s="174">
        <f>(F97+G97+H97)*16%</f>
        <v>27378.240000000002</v>
      </c>
      <c r="J97" s="175">
        <f>I97+H97+G97+F97</f>
        <v>198492.24</v>
      </c>
    </row>
    <row r="98" spans="1:10" s="41" customFormat="1">
      <c r="A98" s="481"/>
      <c r="B98" s="177" t="s">
        <v>73</v>
      </c>
      <c r="C98" s="178">
        <v>4</v>
      </c>
      <c r="D98" s="187">
        <v>76.25</v>
      </c>
      <c r="E98" s="186">
        <v>5</v>
      </c>
      <c r="F98" s="187"/>
      <c r="G98" s="187"/>
      <c r="H98" s="187">
        <f>E98*D98*C98</f>
        <v>1525</v>
      </c>
      <c r="I98" s="187">
        <v>0</v>
      </c>
      <c r="J98" s="188">
        <f>I98+H98+G98+F98</f>
        <v>1525</v>
      </c>
    </row>
    <row r="99" spans="1:10" s="41" customFormat="1" ht="24.75">
      <c r="A99" s="481"/>
      <c r="B99" s="172" t="s">
        <v>139</v>
      </c>
      <c r="C99" s="173">
        <v>1</v>
      </c>
      <c r="D99" s="174">
        <v>7926.2</v>
      </c>
      <c r="E99" s="173">
        <v>5</v>
      </c>
      <c r="F99" s="174">
        <f>SUM(C99*D99*E99)</f>
        <v>39631</v>
      </c>
      <c r="G99" s="174">
        <f>198.2*C99*E99</f>
        <v>991</v>
      </c>
      <c r="H99" s="174">
        <f>431.3*C99*E99</f>
        <v>2156.5</v>
      </c>
      <c r="I99" s="174">
        <f>(F99+G99+H99)*16%</f>
        <v>6844.56</v>
      </c>
      <c r="J99" s="175">
        <f>I99+H99+G99+F99</f>
        <v>49623.06</v>
      </c>
    </row>
    <row r="100" spans="1:10" s="41" customFormat="1">
      <c r="A100" s="481"/>
      <c r="B100" s="130" t="s">
        <v>73</v>
      </c>
      <c r="C100" s="186">
        <v>1</v>
      </c>
      <c r="D100" s="187">
        <v>76.25</v>
      </c>
      <c r="E100" s="186">
        <v>5</v>
      </c>
      <c r="F100" s="187"/>
      <c r="G100" s="187"/>
      <c r="H100" s="187">
        <f>E100*D100*C100</f>
        <v>381.25</v>
      </c>
      <c r="I100" s="187">
        <v>0</v>
      </c>
      <c r="J100" s="188">
        <f>I100+H100+G100+F100</f>
        <v>381.25</v>
      </c>
    </row>
    <row r="101" spans="1:10" s="41" customFormat="1">
      <c r="A101" s="531"/>
      <c r="B101" s="528" t="s">
        <v>140</v>
      </c>
      <c r="C101" s="529">
        <v>10</v>
      </c>
      <c r="D101" s="530">
        <v>6046</v>
      </c>
      <c r="E101" s="529">
        <v>1</v>
      </c>
      <c r="F101" s="530">
        <f>SUM(C101*D101*E101)</f>
        <v>60460</v>
      </c>
      <c r="G101" s="530">
        <v>0</v>
      </c>
      <c r="H101" s="530">
        <f>2355*C101</f>
        <v>23550</v>
      </c>
      <c r="I101" s="530">
        <f>968*C101</f>
        <v>9680</v>
      </c>
      <c r="J101" s="530">
        <f>I101+H101+G101+F101</f>
        <v>93690</v>
      </c>
    </row>
    <row r="102" spans="1:10" s="41" customFormat="1">
      <c r="A102" s="533"/>
      <c r="B102" s="528" t="s">
        <v>141</v>
      </c>
      <c r="C102" s="529">
        <v>10</v>
      </c>
      <c r="D102" s="530">
        <v>230</v>
      </c>
      <c r="E102" s="529">
        <v>1</v>
      </c>
      <c r="F102" s="530">
        <f>C102*D102*E102</f>
        <v>2300</v>
      </c>
      <c r="G102" s="530"/>
      <c r="H102" s="530"/>
      <c r="I102" s="530">
        <f>F102*16%</f>
        <v>368</v>
      </c>
      <c r="J102" s="530">
        <f>SUM(F102:I102)</f>
        <v>2668</v>
      </c>
    </row>
    <row r="103" spans="1:10" s="41" customFormat="1" ht="19.899999999999999" customHeight="1">
      <c r="A103" s="480"/>
      <c r="B103" s="532" t="s">
        <v>142</v>
      </c>
      <c r="C103" s="206">
        <v>10</v>
      </c>
      <c r="D103" s="207">
        <v>1500</v>
      </c>
      <c r="E103" s="206">
        <v>5</v>
      </c>
      <c r="F103" s="207">
        <f>SUM(C103*D103*E103)</f>
        <v>75000</v>
      </c>
      <c r="G103" s="207">
        <v>0</v>
      </c>
      <c r="H103" s="207">
        <v>0</v>
      </c>
      <c r="I103" s="207">
        <f>(F103*16%)+(G103*16%)+(H103*16%)</f>
        <v>12000</v>
      </c>
      <c r="J103" s="208">
        <f>I103+H103+G103+F103</f>
        <v>87000</v>
      </c>
    </row>
    <row r="104" spans="1:10">
      <c r="A104" s="203"/>
      <c r="B104" s="215" t="s">
        <v>78</v>
      </c>
      <c r="C104" s="227"/>
      <c r="D104" s="228"/>
      <c r="E104" s="227"/>
      <c r="F104" s="229">
        <f>SUM(F97:F103)</f>
        <v>335915</v>
      </c>
      <c r="G104" s="229">
        <f>SUM(G97:G103)</f>
        <v>4955</v>
      </c>
      <c r="H104" s="229">
        <f>SUM(H97:H103)</f>
        <v>36238.75</v>
      </c>
      <c r="I104" s="229">
        <f>SUM(I97:I103)</f>
        <v>56270.8</v>
      </c>
      <c r="J104" s="229">
        <f>SUM(J97:J103)</f>
        <v>433379.55</v>
      </c>
    </row>
    <row r="105" spans="1:10" ht="25.5">
      <c r="A105" s="199"/>
      <c r="B105" s="200" t="s">
        <v>143</v>
      </c>
      <c r="C105" s="201"/>
      <c r="D105" s="202"/>
      <c r="E105" s="201"/>
      <c r="F105" s="202">
        <f>F104</f>
        <v>335915</v>
      </c>
      <c r="G105" s="202">
        <f>G104</f>
        <v>4955</v>
      </c>
      <c r="H105" s="202">
        <f>H104</f>
        <v>36238.75</v>
      </c>
      <c r="I105" s="202">
        <f>I104</f>
        <v>56270.8</v>
      </c>
      <c r="J105" s="202">
        <f>J104</f>
        <v>433379.55</v>
      </c>
    </row>
    <row r="106" spans="1:10">
      <c r="A106" s="199"/>
      <c r="B106" s="230"/>
      <c r="C106" s="231"/>
      <c r="D106" s="232"/>
      <c r="E106" s="231"/>
      <c r="F106" s="232"/>
      <c r="G106" s="232"/>
      <c r="H106" s="232"/>
      <c r="I106" s="232"/>
      <c r="J106" s="232"/>
    </row>
    <row r="107" spans="1:10" ht="22.5">
      <c r="A107" s="483" t="s">
        <v>1</v>
      </c>
      <c r="B107" s="483"/>
      <c r="C107" s="483"/>
      <c r="D107" s="483"/>
      <c r="E107" s="483"/>
      <c r="F107" s="232"/>
      <c r="G107" s="232"/>
      <c r="H107" s="232"/>
      <c r="I107" s="232"/>
      <c r="J107" s="232"/>
    </row>
    <row r="108" spans="1:10">
      <c r="A108" s="233"/>
      <c r="B108" s="234"/>
      <c r="C108" s="201"/>
      <c r="D108" s="202"/>
      <c r="E108" s="235" t="s">
        <v>144</v>
      </c>
      <c r="F108" s="202">
        <f>F28</f>
        <v>5157464</v>
      </c>
      <c r="G108" s="202">
        <f>G28</f>
        <v>127885.79999999999</v>
      </c>
      <c r="H108" s="202">
        <f>H28</f>
        <v>315304.44999999995</v>
      </c>
      <c r="I108" s="202">
        <f>I28</f>
        <v>887991.68</v>
      </c>
      <c r="J108" s="202">
        <f>SUM(F108:I108)</f>
        <v>6488645.9299999997</v>
      </c>
    </row>
    <row r="109" spans="1:10">
      <c r="A109" s="233"/>
      <c r="B109" s="234"/>
      <c r="C109" s="201"/>
      <c r="D109" s="202"/>
      <c r="E109" s="235" t="s">
        <v>145</v>
      </c>
      <c r="F109" s="202">
        <f>F54</f>
        <v>713400</v>
      </c>
      <c r="G109" s="202">
        <f>G54</f>
        <v>0</v>
      </c>
      <c r="H109" s="202">
        <f>H54</f>
        <v>107010</v>
      </c>
      <c r="I109" s="202">
        <f>I54</f>
        <v>131265.60000000001</v>
      </c>
      <c r="J109" s="202">
        <f>SUM(F109:I109)</f>
        <v>951675.6</v>
      </c>
    </row>
    <row r="110" spans="1:10">
      <c r="A110" s="233"/>
      <c r="B110" s="234"/>
      <c r="C110" s="201"/>
      <c r="D110" s="202"/>
      <c r="E110" s="235" t="s">
        <v>146</v>
      </c>
      <c r="F110" s="202">
        <f>F69</f>
        <v>262440</v>
      </c>
      <c r="G110" s="202">
        <f>G69</f>
        <v>0</v>
      </c>
      <c r="H110" s="202">
        <f>H69</f>
        <v>15746.4</v>
      </c>
      <c r="I110" s="202">
        <f>I69</f>
        <v>41990.400000000009</v>
      </c>
      <c r="J110" s="202">
        <f>SUM(F110:I110)</f>
        <v>320176.80000000005</v>
      </c>
    </row>
    <row r="111" spans="1:10">
      <c r="A111" s="233"/>
      <c r="B111" s="234"/>
      <c r="C111" s="201"/>
      <c r="D111" s="202"/>
      <c r="E111" s="235" t="str">
        <f>A71</f>
        <v>TELEMARKETING</v>
      </c>
      <c r="F111" s="202">
        <f>F77</f>
        <v>0</v>
      </c>
      <c r="G111" s="202">
        <f>G77</f>
        <v>0</v>
      </c>
      <c r="H111" s="202">
        <f>H77</f>
        <v>0</v>
      </c>
      <c r="I111" s="202">
        <f>I77</f>
        <v>0</v>
      </c>
      <c r="J111" s="202">
        <f>SUM(F111:I111)</f>
        <v>0</v>
      </c>
    </row>
    <row r="112" spans="1:10">
      <c r="A112" s="233"/>
      <c r="B112" s="234"/>
      <c r="C112" s="201"/>
      <c r="D112" s="202"/>
      <c r="E112" s="235" t="s">
        <v>30</v>
      </c>
      <c r="F112" s="202">
        <f>F93</f>
        <v>0</v>
      </c>
      <c r="G112" s="202">
        <f>G93</f>
        <v>0</v>
      </c>
      <c r="H112" s="202">
        <f>H93</f>
        <v>0</v>
      </c>
      <c r="I112" s="202">
        <f>I93</f>
        <v>0</v>
      </c>
      <c r="J112" s="202">
        <f>SUM(F112:I112)</f>
        <v>0</v>
      </c>
    </row>
    <row r="113" spans="1:10">
      <c r="A113" s="236"/>
      <c r="B113" s="237"/>
      <c r="C113" s="238"/>
      <c r="D113" s="239"/>
      <c r="E113" s="240" t="s">
        <v>147</v>
      </c>
      <c r="F113" s="239">
        <f>SUM(F108:F112)</f>
        <v>6133304</v>
      </c>
      <c r="G113" s="239">
        <f>SUM(G108:G112)</f>
        <v>127885.79999999999</v>
      </c>
      <c r="H113" s="239">
        <f>SUM(H108:H112)</f>
        <v>438060.85</v>
      </c>
      <c r="I113" s="239">
        <f>SUM(I108:I112)</f>
        <v>1061247.68</v>
      </c>
      <c r="J113" s="239">
        <f>SUM(J108:J112)</f>
        <v>7760498.3299999991</v>
      </c>
    </row>
    <row r="114" spans="1:10">
      <c r="A114" s="233"/>
      <c r="B114" s="234"/>
      <c r="C114" s="201"/>
      <c r="D114" s="202"/>
      <c r="E114" s="235" t="s">
        <v>148</v>
      </c>
      <c r="F114" s="202">
        <f>(F108+F109+F110+F111+F112)*6%</f>
        <v>367998.24</v>
      </c>
      <c r="G114" s="202"/>
      <c r="H114" s="202"/>
      <c r="I114" s="202">
        <f>F114*16%</f>
        <v>58879.718399999998</v>
      </c>
      <c r="J114" s="202">
        <f>SUM(F114:I114)</f>
        <v>426877.9584</v>
      </c>
    </row>
    <row r="115" spans="1:10">
      <c r="A115" s="233"/>
      <c r="B115" s="234"/>
      <c r="C115" s="201"/>
      <c r="D115" s="202"/>
      <c r="E115" s="235" t="s">
        <v>149</v>
      </c>
      <c r="F115" s="202">
        <f>F105</f>
        <v>335915</v>
      </c>
      <c r="G115" s="202">
        <f>G105</f>
        <v>4955</v>
      </c>
      <c r="H115" s="202">
        <f>H105</f>
        <v>36238.75</v>
      </c>
      <c r="I115" s="202">
        <f>I105</f>
        <v>56270.8</v>
      </c>
      <c r="J115" s="202">
        <f>SUM(F115:I115)</f>
        <v>433379.55</v>
      </c>
    </row>
    <row r="116" spans="1:10">
      <c r="A116" s="236"/>
      <c r="B116" s="237"/>
      <c r="C116" s="238"/>
      <c r="D116" s="239"/>
      <c r="E116" s="240" t="s">
        <v>150</v>
      </c>
      <c r="F116" s="239">
        <f>SUM(F113:F115)</f>
        <v>6837217.2400000002</v>
      </c>
      <c r="G116" s="239">
        <f>SUM(G113:G115)</f>
        <v>132840.79999999999</v>
      </c>
      <c r="H116" s="239">
        <f>SUM(H113:H115)</f>
        <v>474299.6</v>
      </c>
      <c r="I116" s="239">
        <f>SUM(I113:I115)</f>
        <v>1176398.1983999999</v>
      </c>
      <c r="J116" s="239">
        <f>SUM(J113:J115)</f>
        <v>8620755.8383999988</v>
      </c>
    </row>
    <row r="119" spans="1:10">
      <c r="A119" s="241" t="s">
        <v>151</v>
      </c>
    </row>
  </sheetData>
  <mergeCells count="28">
    <mergeCell ref="A81:A82"/>
    <mergeCell ref="A85:A91"/>
    <mergeCell ref="A95:B95"/>
    <mergeCell ref="A97:A103"/>
    <mergeCell ref="A107:E107"/>
    <mergeCell ref="A79:B79"/>
    <mergeCell ref="A31:B31"/>
    <mergeCell ref="A33:A34"/>
    <mergeCell ref="A35:A40"/>
    <mergeCell ref="A41:A46"/>
    <mergeCell ref="A47:A51"/>
    <mergeCell ref="A57:B57"/>
    <mergeCell ref="A59:A65"/>
    <mergeCell ref="A66:A67"/>
    <mergeCell ref="A71:B71"/>
    <mergeCell ref="A21:A25"/>
    <mergeCell ref="A19:A20"/>
    <mergeCell ref="A1:J5"/>
    <mergeCell ref="B7:J7"/>
    <mergeCell ref="B8:J8"/>
    <mergeCell ref="B9:J9"/>
    <mergeCell ref="B10:J10"/>
    <mergeCell ref="B11:J11"/>
    <mergeCell ref="B12:J12"/>
    <mergeCell ref="B13:J13"/>
    <mergeCell ref="F14:G14"/>
    <mergeCell ref="H14:J14"/>
    <mergeCell ref="A17:B1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4908E-5453-45B5-B2C0-A9C03B9CD73E}">
  <sheetPr>
    <tabColor theme="0"/>
  </sheetPr>
  <dimension ref="A1:N110"/>
  <sheetViews>
    <sheetView topLeftCell="A90" zoomScale="70" zoomScaleNormal="70" workbookViewId="0">
      <selection activeCell="B8" sqref="B8:J8"/>
    </sheetView>
  </sheetViews>
  <sheetFormatPr defaultColWidth="8.85546875" defaultRowHeight="15"/>
  <cols>
    <col min="1" max="1" width="20.7109375" customWidth="1"/>
    <col min="2" max="2" width="49.140625" customWidth="1"/>
    <col min="3" max="3" width="10.5703125" customWidth="1"/>
    <col min="4" max="5" width="13.85546875" customWidth="1"/>
    <col min="6" max="6" width="16.85546875" customWidth="1"/>
    <col min="7" max="7" width="13.85546875" customWidth="1"/>
    <col min="8" max="8" width="12.5703125" bestFit="1" customWidth="1"/>
    <col min="9" max="9" width="15.28515625" bestFit="1" customWidth="1"/>
    <col min="10" max="10" width="19.28515625" customWidth="1"/>
    <col min="11" max="11" width="9.140625" bestFit="1" customWidth="1"/>
    <col min="12" max="12" width="12.28515625" bestFit="1" customWidth="1"/>
  </cols>
  <sheetData>
    <row r="1" spans="1:10">
      <c r="A1" s="463" t="s">
        <v>44</v>
      </c>
      <c r="B1" s="464"/>
      <c r="C1" s="464"/>
      <c r="D1" s="464"/>
      <c r="E1" s="464"/>
      <c r="F1" s="464"/>
      <c r="G1" s="464"/>
      <c r="H1" s="464"/>
      <c r="I1" s="464"/>
      <c r="J1" s="465"/>
    </row>
    <row r="2" spans="1:10">
      <c r="A2" s="466"/>
      <c r="B2" s="467"/>
      <c r="C2" s="467"/>
      <c r="D2" s="467"/>
      <c r="E2" s="467"/>
      <c r="F2" s="467"/>
      <c r="G2" s="467"/>
      <c r="H2" s="467"/>
      <c r="I2" s="467"/>
      <c r="J2" s="468"/>
    </row>
    <row r="3" spans="1:10">
      <c r="A3" s="466"/>
      <c r="B3" s="467"/>
      <c r="C3" s="467"/>
      <c r="D3" s="467"/>
      <c r="E3" s="467"/>
      <c r="F3" s="467"/>
      <c r="G3" s="467"/>
      <c r="H3" s="467"/>
      <c r="I3" s="467"/>
      <c r="J3" s="468"/>
    </row>
    <row r="4" spans="1:10">
      <c r="A4" s="466"/>
      <c r="B4" s="467"/>
      <c r="C4" s="467"/>
      <c r="D4" s="467"/>
      <c r="E4" s="467"/>
      <c r="F4" s="467"/>
      <c r="G4" s="467"/>
      <c r="H4" s="467"/>
      <c r="I4" s="467"/>
      <c r="J4" s="468"/>
    </row>
    <row r="5" spans="1:10">
      <c r="A5" s="469"/>
      <c r="B5" s="470"/>
      <c r="C5" s="470"/>
      <c r="D5" s="470"/>
      <c r="E5" s="470"/>
      <c r="F5" s="470"/>
      <c r="G5" s="470"/>
      <c r="H5" s="470"/>
      <c r="I5" s="470"/>
      <c r="J5" s="47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>
      <c r="A7" s="16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75">
      <c r="A8" s="162" t="s">
        <v>46</v>
      </c>
      <c r="B8" s="472" t="s">
        <v>310</v>
      </c>
      <c r="C8" s="472"/>
      <c r="D8" s="472"/>
      <c r="E8" s="472"/>
      <c r="F8" s="472"/>
      <c r="G8" s="472"/>
      <c r="H8" s="472"/>
      <c r="I8" s="472"/>
      <c r="J8" s="472"/>
    </row>
    <row r="9" spans="1:10" ht="15.75">
      <c r="A9" s="162" t="s">
        <v>48</v>
      </c>
      <c r="B9" s="473" t="s">
        <v>336</v>
      </c>
      <c r="C9" s="473"/>
      <c r="D9" s="473"/>
      <c r="E9" s="473"/>
      <c r="F9" s="473"/>
      <c r="G9" s="473"/>
      <c r="H9" s="473"/>
      <c r="I9" s="473"/>
      <c r="J9" s="473"/>
    </row>
    <row r="10" spans="1:10" ht="15.75">
      <c r="A10" s="162" t="s">
        <v>50</v>
      </c>
      <c r="B10" s="474" t="s">
        <v>195</v>
      </c>
      <c r="C10" s="474"/>
      <c r="D10" s="474"/>
      <c r="E10" s="474"/>
      <c r="F10" s="474"/>
      <c r="G10" s="474"/>
      <c r="H10" s="474"/>
      <c r="I10" s="474"/>
      <c r="J10" s="474"/>
    </row>
    <row r="11" spans="1:10" ht="15.75">
      <c r="A11" s="162" t="s">
        <v>52</v>
      </c>
      <c r="B11" s="474" t="s">
        <v>337</v>
      </c>
      <c r="C11" s="474"/>
      <c r="D11" s="474"/>
      <c r="E11" s="474"/>
      <c r="F11" s="474"/>
      <c r="G11" s="474"/>
      <c r="H11" s="474"/>
      <c r="I11" s="474"/>
      <c r="J11" s="474"/>
    </row>
    <row r="12" spans="1:10" ht="15.75">
      <c r="A12" s="16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162" t="s">
        <v>56</v>
      </c>
      <c r="B13" s="474"/>
      <c r="C13" s="474"/>
      <c r="D13" s="474"/>
      <c r="E13" s="474"/>
      <c r="F13" s="474"/>
      <c r="G13" s="474"/>
      <c r="H13" s="474"/>
      <c r="I13" s="474"/>
      <c r="J13" s="474"/>
    </row>
    <row r="14" spans="1:10">
      <c r="A14" s="163" t="s">
        <v>57</v>
      </c>
      <c r="B14" s="164" t="s">
        <v>58</v>
      </c>
      <c r="C14" s="165" t="s">
        <v>59</v>
      </c>
      <c r="D14" s="166">
        <v>0</v>
      </c>
      <c r="E14" s="167"/>
      <c r="F14" s="475" t="s">
        <v>60</v>
      </c>
      <c r="G14" s="475"/>
      <c r="H14" s="476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ht="15" customHeight="1">
      <c r="A17" s="477" t="s">
        <v>61</v>
      </c>
      <c r="B17" s="478"/>
      <c r="C17" s="167"/>
      <c r="D17" s="167"/>
      <c r="E17" s="167"/>
      <c r="F17" s="167"/>
      <c r="G17" s="167"/>
      <c r="H17" s="167"/>
      <c r="I17" s="167"/>
      <c r="J17" s="167"/>
    </row>
    <row r="18" spans="1:12">
      <c r="A18" s="168" t="s">
        <v>62</v>
      </c>
      <c r="B18" s="169" t="s">
        <v>13</v>
      </c>
      <c r="C18" s="170" t="s">
        <v>63</v>
      </c>
      <c r="D18" s="170" t="s">
        <v>64</v>
      </c>
      <c r="E18" s="170" t="s">
        <v>65</v>
      </c>
      <c r="F18" s="170" t="s">
        <v>66</v>
      </c>
      <c r="G18" s="170" t="s">
        <v>67</v>
      </c>
      <c r="H18" s="170" t="s">
        <v>68</v>
      </c>
      <c r="I18" s="170" t="s">
        <v>69</v>
      </c>
      <c r="J18" s="171" t="s">
        <v>70</v>
      </c>
    </row>
    <row r="19" spans="1:12" s="41" customFormat="1">
      <c r="A19" s="460" t="s">
        <v>71</v>
      </c>
      <c r="B19" s="172" t="s">
        <v>72</v>
      </c>
      <c r="C19" s="173">
        <v>5</v>
      </c>
      <c r="D19" s="174">
        <v>8025.3</v>
      </c>
      <c r="E19" s="173">
        <v>1</v>
      </c>
      <c r="F19" s="174">
        <f>SUM(C19*D19*E19)</f>
        <v>40126.5</v>
      </c>
      <c r="G19" s="174">
        <f>0*C19*E19</f>
        <v>0</v>
      </c>
      <c r="H19" s="174">
        <f>387.25*C19*E19</f>
        <v>1936.25</v>
      </c>
      <c r="I19" s="174">
        <f>1412.45*C19*E19</f>
        <v>7062.25</v>
      </c>
      <c r="J19" s="175">
        <f>I19+H19+G19+F19</f>
        <v>49125</v>
      </c>
      <c r="L19" s="123"/>
    </row>
    <row r="20" spans="1:12" s="41" customFormat="1">
      <c r="A20" s="462"/>
      <c r="B20" s="177" t="s">
        <v>73</v>
      </c>
      <c r="C20" s="178">
        <v>5</v>
      </c>
      <c r="D20" s="179">
        <v>82.12</v>
      </c>
      <c r="E20" s="178">
        <v>1</v>
      </c>
      <c r="F20" s="179"/>
      <c r="G20" s="179"/>
      <c r="H20" s="179">
        <f>E20*D20*C20</f>
        <v>410.6</v>
      </c>
      <c r="I20" s="179">
        <v>0</v>
      </c>
      <c r="J20" s="180">
        <f>I20+H20+G20+F20</f>
        <v>410.6</v>
      </c>
    </row>
    <row r="21" spans="1:12" s="41" customFormat="1">
      <c r="A21" s="460" t="s">
        <v>74</v>
      </c>
      <c r="B21" s="181" t="s">
        <v>72</v>
      </c>
      <c r="C21" s="182">
        <v>30</v>
      </c>
      <c r="D21" s="174">
        <v>8025.3</v>
      </c>
      <c r="E21" s="173">
        <v>3</v>
      </c>
      <c r="F21" s="174">
        <f>SUM(C21*D21*E21)</f>
        <v>722277</v>
      </c>
      <c r="G21" s="174">
        <f>0*C21*E21</f>
        <v>0</v>
      </c>
      <c r="H21" s="174">
        <f>387.25*C21*E21</f>
        <v>34852.5</v>
      </c>
      <c r="I21" s="174">
        <f>1412.45*C21*E21</f>
        <v>127120.5</v>
      </c>
      <c r="J21" s="175">
        <f>I21+H21+G21+F21</f>
        <v>884250</v>
      </c>
    </row>
    <row r="22" spans="1:12" s="41" customFormat="1">
      <c r="A22" s="461"/>
      <c r="B22" s="132" t="s">
        <v>73</v>
      </c>
      <c r="C22" s="183">
        <v>30</v>
      </c>
      <c r="D22" s="184">
        <v>82.12</v>
      </c>
      <c r="E22" s="183">
        <v>3</v>
      </c>
      <c r="F22" s="184"/>
      <c r="G22" s="184"/>
      <c r="H22" s="184">
        <f>E22*D22*C22</f>
        <v>7390.8</v>
      </c>
      <c r="I22" s="184">
        <v>0</v>
      </c>
      <c r="J22" s="185">
        <f>I22+H22+G22+F22</f>
        <v>7390.8</v>
      </c>
    </row>
    <row r="23" spans="1:12" s="41" customFormat="1">
      <c r="A23" s="461"/>
      <c r="B23" s="172" t="s">
        <v>75</v>
      </c>
      <c r="C23" s="173">
        <v>190</v>
      </c>
      <c r="D23" s="174">
        <v>8462.16</v>
      </c>
      <c r="E23" s="173">
        <v>3</v>
      </c>
      <c r="F23" s="174">
        <f>SUM(C23*D23*E23)</f>
        <v>4823431.1999999993</v>
      </c>
      <c r="G23" s="174">
        <f>0*C23*E23</f>
        <v>0</v>
      </c>
      <c r="H23" s="174">
        <f>774.5*C23*E23</f>
        <v>441465</v>
      </c>
      <c r="I23" s="174">
        <f>1489.34*C23*E23</f>
        <v>848923.79999999993</v>
      </c>
      <c r="J23" s="175">
        <f>I23+H23+G23+F23</f>
        <v>6113819.9999999991</v>
      </c>
    </row>
    <row r="24" spans="1:12" s="41" customFormat="1">
      <c r="A24" s="461"/>
      <c r="B24" s="130" t="s">
        <v>73</v>
      </c>
      <c r="C24" s="186">
        <v>190</v>
      </c>
      <c r="D24" s="187">
        <v>82.12</v>
      </c>
      <c r="E24" s="186">
        <v>3</v>
      </c>
      <c r="F24" s="187"/>
      <c r="G24" s="187"/>
      <c r="H24" s="187">
        <f>E24*D24*C24</f>
        <v>46808.4</v>
      </c>
      <c r="I24" s="187">
        <v>0</v>
      </c>
      <c r="J24" s="188">
        <f>I24+H24+G24+F24</f>
        <v>46808.4</v>
      </c>
    </row>
    <row r="25" spans="1:12" s="41" customFormat="1">
      <c r="A25" s="462"/>
      <c r="B25" s="190" t="s">
        <v>76</v>
      </c>
      <c r="C25" s="191">
        <v>-3</v>
      </c>
      <c r="D25" s="192">
        <v>-8025.3</v>
      </c>
      <c r="E25" s="191">
        <v>-3</v>
      </c>
      <c r="F25" s="192">
        <f>SUM(C25*D25*E25)</f>
        <v>-72227.700000000012</v>
      </c>
      <c r="G25" s="273">
        <f>0*C25*E25</f>
        <v>0</v>
      </c>
      <c r="H25" s="273">
        <f>-387.25*C25*E25</f>
        <v>-3485.25</v>
      </c>
      <c r="I25" s="273">
        <f>-1412.45*C25*E25</f>
        <v>-12712.050000000001</v>
      </c>
      <c r="J25" s="193">
        <f>I25+H25+G25+F25</f>
        <v>-88425.000000000015</v>
      </c>
    </row>
    <row r="26" spans="1:12" s="41" customFormat="1">
      <c r="A26" s="421"/>
      <c r="B26" s="172" t="s">
        <v>77</v>
      </c>
      <c r="C26" s="173">
        <v>1</v>
      </c>
      <c r="D26" s="174">
        <v>50000</v>
      </c>
      <c r="E26" s="173">
        <v>1</v>
      </c>
      <c r="F26" s="174">
        <f>SUM(C26*D26*E26)</f>
        <v>50000</v>
      </c>
      <c r="G26" s="174">
        <f>142.17*C26*E26</f>
        <v>142.16999999999999</v>
      </c>
      <c r="H26" s="174">
        <f>185*C26*E26</f>
        <v>185</v>
      </c>
      <c r="I26" s="174">
        <f>(F26+G26+H26)*16%</f>
        <v>8052.3472000000002</v>
      </c>
      <c r="J26" s="175">
        <f>I26+H26+G26+F26</f>
        <v>58379.517200000002</v>
      </c>
    </row>
    <row r="27" spans="1:12">
      <c r="A27" s="194"/>
      <c r="B27" s="195" t="s">
        <v>78</v>
      </c>
      <c r="C27" s="196"/>
      <c r="D27" s="197"/>
      <c r="E27" s="196"/>
      <c r="F27" s="198">
        <f>SUM(F19:F26)</f>
        <v>5563606.9999999991</v>
      </c>
      <c r="G27" s="198">
        <f>SUM(G19:G26)</f>
        <v>142.16999999999999</v>
      </c>
      <c r="H27" s="198">
        <f>SUM(H19:H26)</f>
        <v>529563.30000000005</v>
      </c>
      <c r="I27" s="198">
        <f>SUM(I19:I26)</f>
        <v>978446.84719999984</v>
      </c>
      <c r="J27" s="198">
        <f>SUM(J19:J26)</f>
        <v>7071759.3171999995</v>
      </c>
    </row>
    <row r="28" spans="1:12">
      <c r="A28" s="199"/>
      <c r="B28" s="200" t="s">
        <v>79</v>
      </c>
      <c r="C28" s="201"/>
      <c r="D28" s="202"/>
      <c r="E28" s="201"/>
      <c r="F28" s="202">
        <f>F27</f>
        <v>5563606.9999999991</v>
      </c>
      <c r="G28" s="202">
        <f>G27</f>
        <v>142.16999999999999</v>
      </c>
      <c r="H28" s="202">
        <f>H27</f>
        <v>529563.30000000005</v>
      </c>
      <c r="I28" s="202">
        <f>I27</f>
        <v>978446.84719999984</v>
      </c>
      <c r="J28" s="202">
        <f>J27</f>
        <v>7071759.3171999995</v>
      </c>
    </row>
    <row r="29" spans="1:12">
      <c r="A29" s="203"/>
      <c r="B29" s="204"/>
      <c r="C29" s="196"/>
      <c r="D29" s="197"/>
      <c r="E29" s="196"/>
      <c r="F29" s="197"/>
      <c r="G29" s="197"/>
      <c r="H29" s="197"/>
      <c r="I29" s="197"/>
      <c r="J29" s="197"/>
    </row>
    <row r="30" spans="1:12">
      <c r="A30" s="203"/>
      <c r="B30" s="204"/>
      <c r="C30" s="196"/>
      <c r="D30" s="197"/>
      <c r="E30" s="196"/>
      <c r="F30" s="197"/>
      <c r="G30" s="197"/>
      <c r="H30" s="197"/>
      <c r="I30" s="197"/>
      <c r="J30" s="197"/>
    </row>
    <row r="31" spans="1:12">
      <c r="A31" s="477" t="s">
        <v>80</v>
      </c>
      <c r="B31" s="478"/>
      <c r="C31" s="167"/>
      <c r="D31" s="167"/>
      <c r="E31" s="167"/>
      <c r="F31" s="167"/>
      <c r="G31" s="167"/>
      <c r="H31" s="167"/>
      <c r="I31" s="167"/>
      <c r="J31" s="167"/>
    </row>
    <row r="32" spans="1:12">
      <c r="A32" s="168" t="s">
        <v>62</v>
      </c>
      <c r="B32" s="169" t="s">
        <v>13</v>
      </c>
      <c r="C32" s="170" t="s">
        <v>63</v>
      </c>
      <c r="D32" s="170" t="s">
        <v>64</v>
      </c>
      <c r="E32" s="170" t="s">
        <v>65</v>
      </c>
      <c r="F32" s="170" t="s">
        <v>66</v>
      </c>
      <c r="G32" s="170" t="s">
        <v>27</v>
      </c>
      <c r="H32" s="170" t="s">
        <v>68</v>
      </c>
      <c r="I32" s="170" t="s">
        <v>69</v>
      </c>
      <c r="J32" s="171" t="s">
        <v>70</v>
      </c>
    </row>
    <row r="33" spans="1:10" s="41" customFormat="1" ht="36.75">
      <c r="A33" s="479" t="s">
        <v>71</v>
      </c>
      <c r="B33" s="128" t="s">
        <v>81</v>
      </c>
      <c r="C33" s="173">
        <v>5</v>
      </c>
      <c r="D33" s="174">
        <v>0</v>
      </c>
      <c r="E33" s="173">
        <v>1</v>
      </c>
      <c r="F33" s="174">
        <f>SUM(C33*D33*E33)</f>
        <v>0</v>
      </c>
      <c r="G33" s="174"/>
      <c r="H33" s="174">
        <f>F33*15%</f>
        <v>0</v>
      </c>
      <c r="I33" s="174">
        <f>(F33*16%)+(H33*16%)</f>
        <v>0</v>
      </c>
      <c r="J33" s="175">
        <f>I33+H33+G33+F33</f>
        <v>0</v>
      </c>
    </row>
    <row r="34" spans="1:10" s="41" customFormat="1">
      <c r="A34" s="480"/>
      <c r="B34" s="126" t="s">
        <v>313</v>
      </c>
      <c r="C34" s="206">
        <v>5</v>
      </c>
      <c r="D34" s="207">
        <v>0</v>
      </c>
      <c r="E34" s="206">
        <v>1</v>
      </c>
      <c r="F34" s="207">
        <f>SUM(C34*D34*E34)</f>
        <v>0</v>
      </c>
      <c r="G34" s="207"/>
      <c r="H34" s="207">
        <f>F34*15%</f>
        <v>0</v>
      </c>
      <c r="I34" s="207">
        <f>(F34*16%)+(H34*16%)</f>
        <v>0</v>
      </c>
      <c r="J34" s="208">
        <f>I34+H34+G34+F34</f>
        <v>0</v>
      </c>
    </row>
    <row r="35" spans="1:10" s="41" customFormat="1" ht="36.75">
      <c r="A35" s="481" t="s">
        <v>83</v>
      </c>
      <c r="B35" s="129" t="s">
        <v>84</v>
      </c>
      <c r="C35" s="183">
        <v>5</v>
      </c>
      <c r="D35" s="184">
        <v>0</v>
      </c>
      <c r="E35" s="183">
        <v>1</v>
      </c>
      <c r="F35" s="209">
        <f>SUM(C35*D35*E35)</f>
        <v>0</v>
      </c>
      <c r="G35" s="184"/>
      <c r="H35" s="184">
        <f>F35*15%</f>
        <v>0</v>
      </c>
      <c r="I35" s="184">
        <f>(F35*16%)+(H35*16%)</f>
        <v>0</v>
      </c>
      <c r="J35" s="185">
        <f>I35+H35+G35+F35</f>
        <v>0</v>
      </c>
    </row>
    <row r="36" spans="1:10" s="41" customFormat="1" ht="24.75">
      <c r="A36" s="482"/>
      <c r="B36" s="129" t="s">
        <v>85</v>
      </c>
      <c r="C36" s="183">
        <v>410</v>
      </c>
      <c r="D36" s="184">
        <v>0</v>
      </c>
      <c r="E36" s="183">
        <v>1</v>
      </c>
      <c r="F36" s="209">
        <f>SUM(C36*D36*E36)</f>
        <v>0</v>
      </c>
      <c r="G36" s="184"/>
      <c r="H36" s="184">
        <f>F36*15%</f>
        <v>0</v>
      </c>
      <c r="I36" s="184">
        <f>(F36*16%)+(H36*16%)</f>
        <v>0</v>
      </c>
      <c r="J36" s="185">
        <f>I36+H36+G36+F36</f>
        <v>0</v>
      </c>
    </row>
    <row r="37" spans="1:10" s="41" customFormat="1" ht="36.75">
      <c r="A37" s="482"/>
      <c r="B37" s="129" t="s">
        <v>338</v>
      </c>
      <c r="C37" s="183">
        <v>410</v>
      </c>
      <c r="D37" s="184">
        <v>0</v>
      </c>
      <c r="E37" s="183">
        <v>1</v>
      </c>
      <c r="F37" s="209">
        <f>SUM(C37*D37*E37)</f>
        <v>0</v>
      </c>
      <c r="G37" s="184"/>
      <c r="H37" s="184">
        <f>F37*15%</f>
        <v>0</v>
      </c>
      <c r="I37" s="184">
        <f>(F37*16%)+(H37*16%)</f>
        <v>0</v>
      </c>
      <c r="J37" s="185">
        <f>I37+H37+G37+F37</f>
        <v>0</v>
      </c>
    </row>
    <row r="38" spans="1:10" s="41" customFormat="1" ht="46.5" customHeight="1">
      <c r="A38" s="482"/>
      <c r="B38" s="267" t="s">
        <v>339</v>
      </c>
      <c r="C38" s="186">
        <v>410</v>
      </c>
      <c r="D38" s="187">
        <v>475</v>
      </c>
      <c r="E38" s="183">
        <v>0</v>
      </c>
      <c r="F38" s="209">
        <f>SUM(C38*D38*E38)</f>
        <v>0</v>
      </c>
      <c r="G38" s="184"/>
      <c r="H38" s="184">
        <f>F38*15%</f>
        <v>0</v>
      </c>
      <c r="I38" s="184">
        <f>(F38*16%)+(H38*16%)</f>
        <v>0</v>
      </c>
      <c r="J38" s="185">
        <f>I38+H38+G38+F38</f>
        <v>0</v>
      </c>
    </row>
    <row r="39" spans="1:10" s="41" customFormat="1" ht="49.5" customHeight="1">
      <c r="A39" s="482"/>
      <c r="B39" s="267" t="s">
        <v>340</v>
      </c>
      <c r="C39" s="186">
        <v>410</v>
      </c>
      <c r="D39" s="187">
        <v>0</v>
      </c>
      <c r="E39" s="186">
        <v>1</v>
      </c>
      <c r="F39" s="187">
        <f>SUM(C39*D39*E39)</f>
        <v>0</v>
      </c>
      <c r="G39" s="187"/>
      <c r="H39" s="187">
        <f>F39*15%</f>
        <v>0</v>
      </c>
      <c r="I39" s="187">
        <f>(F39*16%)+(H39*16%)</f>
        <v>0</v>
      </c>
      <c r="J39" s="188">
        <f>I39+H39+G39+F39</f>
        <v>0</v>
      </c>
    </row>
    <row r="40" spans="1:10" s="41" customFormat="1" ht="54" customHeight="1">
      <c r="A40" s="482"/>
      <c r="B40" s="130" t="s">
        <v>341</v>
      </c>
      <c r="C40" s="186">
        <v>410</v>
      </c>
      <c r="D40" s="187">
        <v>480</v>
      </c>
      <c r="E40" s="186">
        <v>1</v>
      </c>
      <c r="F40" s="187">
        <f>SUM(C40*D40*E40)</f>
        <v>196800</v>
      </c>
      <c r="G40" s="187"/>
      <c r="H40" s="187">
        <f>F40*15%</f>
        <v>29520</v>
      </c>
      <c r="I40" s="187">
        <f>(F40*16%)+(H40*16%)</f>
        <v>36211.199999999997</v>
      </c>
      <c r="J40" s="188">
        <f>I40+H40+G40+F40</f>
        <v>262531.20000000001</v>
      </c>
    </row>
    <row r="41" spans="1:10" s="41" customFormat="1">
      <c r="A41" s="479" t="s">
        <v>92</v>
      </c>
      <c r="B41" s="128" t="s">
        <v>317</v>
      </c>
      <c r="C41" s="173">
        <v>410</v>
      </c>
      <c r="D41" s="174">
        <v>0</v>
      </c>
      <c r="E41" s="173">
        <v>1</v>
      </c>
      <c r="F41" s="174">
        <f>SUM(C41*D41*E41)</f>
        <v>0</v>
      </c>
      <c r="G41" s="174"/>
      <c r="H41" s="174">
        <f>F41*15%</f>
        <v>0</v>
      </c>
      <c r="I41" s="174">
        <f>(F41*16%)+(H41*16%)</f>
        <v>0</v>
      </c>
      <c r="J41" s="175">
        <f>I41+H41+G41+F41</f>
        <v>0</v>
      </c>
    </row>
    <row r="42" spans="1:10" s="41" customFormat="1" ht="48" customHeight="1">
      <c r="A42" s="482"/>
      <c r="B42" s="129" t="s">
        <v>342</v>
      </c>
      <c r="C42" s="183">
        <v>410</v>
      </c>
      <c r="D42" s="184">
        <v>0</v>
      </c>
      <c r="E42" s="183">
        <v>1</v>
      </c>
      <c r="F42" s="209">
        <f>SUM(C42*D42*E42)</f>
        <v>0</v>
      </c>
      <c r="G42" s="184"/>
      <c r="H42" s="184">
        <f>F42*15%</f>
        <v>0</v>
      </c>
      <c r="I42" s="184">
        <f>(F42*16%)+(H42*16%)</f>
        <v>0</v>
      </c>
      <c r="J42" s="185">
        <f>I42+H42+G42+F42</f>
        <v>0</v>
      </c>
    </row>
    <row r="43" spans="1:10" s="41" customFormat="1" ht="36.75">
      <c r="A43" s="482"/>
      <c r="B43" s="267" t="s">
        <v>339</v>
      </c>
      <c r="C43" s="186">
        <v>410</v>
      </c>
      <c r="D43" s="187">
        <v>475</v>
      </c>
      <c r="E43" s="183">
        <v>0</v>
      </c>
      <c r="F43" s="209">
        <f>SUM(C43*D43*E43)</f>
        <v>0</v>
      </c>
      <c r="G43" s="184"/>
      <c r="H43" s="184">
        <f>F43*15%</f>
        <v>0</v>
      </c>
      <c r="I43" s="184">
        <f>(F43*16%)+(H43*16%)</f>
        <v>0</v>
      </c>
      <c r="J43" s="185">
        <f>I43+H43+G43+F43</f>
        <v>0</v>
      </c>
    </row>
    <row r="44" spans="1:10" s="41" customFormat="1" ht="24.75">
      <c r="A44" s="482"/>
      <c r="B44" s="129" t="s">
        <v>95</v>
      </c>
      <c r="C44" s="183">
        <v>410</v>
      </c>
      <c r="D44" s="184">
        <v>0</v>
      </c>
      <c r="E44" s="183">
        <v>1</v>
      </c>
      <c r="F44" s="209">
        <f>SUM(C44*D44*E44)</f>
        <v>0</v>
      </c>
      <c r="G44" s="184"/>
      <c r="H44" s="184">
        <f>F44*15%</f>
        <v>0</v>
      </c>
      <c r="I44" s="184">
        <f>(F44*16%)+(H44*16%)</f>
        <v>0</v>
      </c>
      <c r="J44" s="185">
        <f>I44+H44+G44+F44</f>
        <v>0</v>
      </c>
    </row>
    <row r="45" spans="1:10" s="41" customFormat="1" ht="42" customHeight="1">
      <c r="A45" s="482"/>
      <c r="B45" s="267" t="s">
        <v>343</v>
      </c>
      <c r="C45" s="186">
        <v>410</v>
      </c>
      <c r="D45" s="187">
        <v>475</v>
      </c>
      <c r="E45" s="186">
        <v>0</v>
      </c>
      <c r="F45" s="209"/>
      <c r="G45" s="184"/>
      <c r="H45" s="184"/>
      <c r="I45" s="184"/>
      <c r="J45" s="185"/>
    </row>
    <row r="46" spans="1:10" s="41" customFormat="1" ht="49.9" customHeight="1">
      <c r="A46" s="482"/>
      <c r="B46" s="131" t="s">
        <v>97</v>
      </c>
      <c r="C46" s="186">
        <v>410</v>
      </c>
      <c r="D46" s="187">
        <v>0</v>
      </c>
      <c r="E46" s="186">
        <v>1</v>
      </c>
      <c r="F46" s="184">
        <f>SUM(C46*D46*E46)</f>
        <v>0</v>
      </c>
      <c r="G46" s="184"/>
      <c r="H46" s="184">
        <f>F46*15%</f>
        <v>0</v>
      </c>
      <c r="I46" s="184">
        <f>(F46*16%)+(H46*16%)</f>
        <v>0</v>
      </c>
      <c r="J46" s="185">
        <f>I46+H46+G46+F46</f>
        <v>0</v>
      </c>
    </row>
    <row r="47" spans="1:10" s="41" customFormat="1">
      <c r="A47" s="460" t="s">
        <v>98</v>
      </c>
      <c r="B47" s="128" t="s">
        <v>168</v>
      </c>
      <c r="C47" s="173">
        <v>410</v>
      </c>
      <c r="D47" s="174">
        <v>0</v>
      </c>
      <c r="E47" s="173"/>
      <c r="F47" s="174">
        <f>SUM(C47*D47*E47)</f>
        <v>0</v>
      </c>
      <c r="G47" s="174"/>
      <c r="H47" s="174">
        <f>F47*15%</f>
        <v>0</v>
      </c>
      <c r="I47" s="174">
        <f>(F47*16%)+(H47*16%)</f>
        <v>0</v>
      </c>
      <c r="J47" s="175">
        <f>I47+H47+G47+F47</f>
        <v>0</v>
      </c>
    </row>
    <row r="48" spans="1:10" s="41" customFormat="1" ht="48.75" customHeight="1">
      <c r="A48" s="461"/>
      <c r="B48" s="129" t="s">
        <v>338</v>
      </c>
      <c r="C48" s="183">
        <v>410</v>
      </c>
      <c r="D48" s="184">
        <v>0</v>
      </c>
      <c r="E48" s="183">
        <v>1</v>
      </c>
      <c r="F48" s="209">
        <f>SUM(C48*D48*E48)</f>
        <v>0</v>
      </c>
      <c r="G48" s="184"/>
      <c r="H48" s="184">
        <f>F48*15%</f>
        <v>0</v>
      </c>
      <c r="I48" s="184">
        <f>(F48*16%)+(H48*16%)</f>
        <v>0</v>
      </c>
      <c r="J48" s="185">
        <f>I48+H48+G48+F48</f>
        <v>0</v>
      </c>
    </row>
    <row r="49" spans="1:10" s="41" customFormat="1" ht="36.75">
      <c r="A49" s="461"/>
      <c r="B49" s="267" t="s">
        <v>339</v>
      </c>
      <c r="C49" s="186">
        <v>410</v>
      </c>
      <c r="D49" s="187">
        <v>475</v>
      </c>
      <c r="E49" s="186">
        <v>0</v>
      </c>
      <c r="F49" s="211">
        <f>SUM(C49*D49*E49)</f>
        <v>0</v>
      </c>
      <c r="G49" s="187"/>
      <c r="H49" s="187">
        <f>F49*15%</f>
        <v>0</v>
      </c>
      <c r="I49" s="187">
        <f>(F49*16%)+(H49*16%)</f>
        <v>0</v>
      </c>
      <c r="J49" s="188">
        <f>I49+H49+G49+F49</f>
        <v>0</v>
      </c>
    </row>
    <row r="50" spans="1:10" s="41" customFormat="1" ht="24.75">
      <c r="A50" s="461"/>
      <c r="B50" s="129" t="s">
        <v>321</v>
      </c>
      <c r="C50" s="183">
        <v>410</v>
      </c>
      <c r="D50" s="184">
        <v>0</v>
      </c>
      <c r="E50" s="183">
        <v>1</v>
      </c>
      <c r="F50" s="184">
        <f>SUM(C50*D50*E50)</f>
        <v>0</v>
      </c>
      <c r="G50" s="184"/>
      <c r="H50" s="184">
        <f>F50*15%</f>
        <v>0</v>
      </c>
      <c r="I50" s="184">
        <f>(F50*16%)+(H50*16%)</f>
        <v>0</v>
      </c>
      <c r="J50" s="185">
        <f>I50+H50+G50+F50</f>
        <v>0</v>
      </c>
    </row>
    <row r="51" spans="1:10" s="41" customFormat="1" ht="37.5" customHeight="1">
      <c r="A51" s="461"/>
      <c r="B51" s="132" t="s">
        <v>322</v>
      </c>
      <c r="C51" s="183">
        <v>410</v>
      </c>
      <c r="D51" s="184">
        <v>480</v>
      </c>
      <c r="E51" s="183">
        <v>1</v>
      </c>
      <c r="F51" s="184">
        <f>SUM(C51*D51*E51)</f>
        <v>196800</v>
      </c>
      <c r="G51" s="184"/>
      <c r="H51" s="184">
        <f>F51*15%</f>
        <v>29520</v>
      </c>
      <c r="I51" s="184">
        <f>(F51*16%)+(H51*16%)</f>
        <v>36211.199999999997</v>
      </c>
      <c r="J51" s="185">
        <f>I51+H51+G51+F51</f>
        <v>262531.20000000001</v>
      </c>
    </row>
    <row r="52" spans="1:10" s="41" customFormat="1">
      <c r="A52" s="189" t="s">
        <v>101</v>
      </c>
      <c r="B52" s="127" t="s">
        <v>93</v>
      </c>
      <c r="C52" s="212">
        <v>410</v>
      </c>
      <c r="D52" s="213">
        <v>0</v>
      </c>
      <c r="E52" s="212">
        <v>1</v>
      </c>
      <c r="F52" s="213">
        <f>SUM(C52*D52*E52)</f>
        <v>0</v>
      </c>
      <c r="G52" s="213"/>
      <c r="H52" s="213">
        <f>F52*15%</f>
        <v>0</v>
      </c>
      <c r="I52" s="213">
        <f>(F52*16%)+(H52*16%)</f>
        <v>0</v>
      </c>
      <c r="J52" s="214">
        <f>I52+H52+G52+F52</f>
        <v>0</v>
      </c>
    </row>
    <row r="53" spans="1:10">
      <c r="A53" s="203"/>
      <c r="B53" s="215" t="s">
        <v>78</v>
      </c>
      <c r="C53" s="196"/>
      <c r="D53" s="197"/>
      <c r="E53" s="196"/>
      <c r="F53" s="198">
        <f>SUM(F33:F52)</f>
        <v>393600</v>
      </c>
      <c r="G53" s="198">
        <f>SUM(G33:G52)</f>
        <v>0</v>
      </c>
      <c r="H53" s="198">
        <f>SUM(H33:H52)</f>
        <v>59040</v>
      </c>
      <c r="I53" s="198">
        <f>SUM(I33:I52)</f>
        <v>72422.399999999994</v>
      </c>
      <c r="J53" s="198">
        <f>SUM(J33:J52)</f>
        <v>525062.40000000002</v>
      </c>
    </row>
    <row r="54" spans="1:10">
      <c r="A54" s="199"/>
      <c r="B54" s="200" t="s">
        <v>102</v>
      </c>
      <c r="C54" s="201"/>
      <c r="D54" s="202"/>
      <c r="E54" s="201"/>
      <c r="F54" s="202">
        <f>F53</f>
        <v>393600</v>
      </c>
      <c r="G54" s="202">
        <f>G53</f>
        <v>0</v>
      </c>
      <c r="H54" s="202">
        <f>H53</f>
        <v>59040</v>
      </c>
      <c r="I54" s="202">
        <f>I53</f>
        <v>72422.399999999994</v>
      </c>
      <c r="J54" s="202">
        <f>J53</f>
        <v>525062.40000000002</v>
      </c>
    </row>
    <row r="55" spans="1:10">
      <c r="A55" s="203"/>
      <c r="B55" s="204"/>
      <c r="C55" s="196"/>
      <c r="D55" s="197"/>
      <c r="E55" s="196"/>
      <c r="F55" s="197"/>
      <c r="G55" s="197"/>
      <c r="H55" s="197"/>
      <c r="I55" s="197"/>
      <c r="J55" s="197"/>
    </row>
    <row r="56" spans="1:10">
      <c r="A56" s="203"/>
      <c r="B56" s="204"/>
      <c r="C56" s="196"/>
      <c r="D56" s="197"/>
      <c r="E56" s="196"/>
      <c r="F56" s="197"/>
      <c r="G56" s="197"/>
      <c r="H56" s="197"/>
      <c r="I56" s="197"/>
      <c r="J56" s="197"/>
    </row>
    <row r="57" spans="1:10">
      <c r="A57" s="477" t="s">
        <v>103</v>
      </c>
      <c r="B57" s="478"/>
      <c r="C57" s="167"/>
      <c r="D57" s="167"/>
      <c r="E57" s="167"/>
      <c r="F57" s="167"/>
      <c r="G57" s="167"/>
      <c r="H57" s="167"/>
      <c r="I57" s="167"/>
      <c r="J57" s="167"/>
    </row>
    <row r="58" spans="1:10">
      <c r="A58" s="216" t="s">
        <v>62</v>
      </c>
      <c r="B58" s="169" t="s">
        <v>13</v>
      </c>
      <c r="C58" s="170" t="s">
        <v>63</v>
      </c>
      <c r="D58" s="170" t="s">
        <v>64</v>
      </c>
      <c r="E58" s="170" t="s">
        <v>65</v>
      </c>
      <c r="F58" s="170" t="s">
        <v>66</v>
      </c>
      <c r="G58" s="170" t="s">
        <v>27</v>
      </c>
      <c r="H58" s="170" t="s">
        <v>68</v>
      </c>
      <c r="I58" s="170" t="s">
        <v>69</v>
      </c>
      <c r="J58" s="171" t="s">
        <v>70</v>
      </c>
    </row>
    <row r="59" spans="1:10">
      <c r="A59" s="460"/>
      <c r="B59" s="172" t="s">
        <v>344</v>
      </c>
      <c r="C59" s="173">
        <v>6</v>
      </c>
      <c r="D59" s="174">
        <v>2700</v>
      </c>
      <c r="E59" s="173">
        <v>1</v>
      </c>
      <c r="F59" s="174">
        <v>16200</v>
      </c>
      <c r="G59" s="174"/>
      <c r="H59" s="174">
        <v>972</v>
      </c>
      <c r="I59" s="174">
        <v>2592</v>
      </c>
      <c r="J59" s="175">
        <v>19764</v>
      </c>
    </row>
    <row r="60" spans="1:10" ht="24.75">
      <c r="A60" s="461"/>
      <c r="B60" s="132" t="s">
        <v>345</v>
      </c>
      <c r="C60" s="183">
        <v>13</v>
      </c>
      <c r="D60" s="184">
        <v>3800</v>
      </c>
      <c r="E60" s="183">
        <v>1</v>
      </c>
      <c r="F60" s="184">
        <v>49400</v>
      </c>
      <c r="G60" s="184"/>
      <c r="H60" s="184">
        <v>2964</v>
      </c>
      <c r="I60" s="184">
        <v>7904</v>
      </c>
      <c r="J60" s="185">
        <v>60268</v>
      </c>
    </row>
    <row r="61" spans="1:10">
      <c r="A61" s="461"/>
      <c r="B61" s="132" t="s">
        <v>346</v>
      </c>
      <c r="C61" s="183">
        <v>3</v>
      </c>
      <c r="D61" s="184">
        <v>9800</v>
      </c>
      <c r="E61" s="183">
        <v>1</v>
      </c>
      <c r="F61" s="184">
        <v>29400</v>
      </c>
      <c r="G61" s="184"/>
      <c r="H61" s="184">
        <v>1764</v>
      </c>
      <c r="I61" s="184">
        <v>4704</v>
      </c>
      <c r="J61" s="185">
        <v>35868</v>
      </c>
    </row>
    <row r="62" spans="1:10">
      <c r="A62" s="461"/>
      <c r="B62" s="132" t="s">
        <v>347</v>
      </c>
      <c r="C62" s="183">
        <v>8</v>
      </c>
      <c r="D62" s="184">
        <v>2700</v>
      </c>
      <c r="E62" s="183">
        <v>1</v>
      </c>
      <c r="F62" s="184">
        <v>21600</v>
      </c>
      <c r="G62" s="184"/>
      <c r="H62" s="184">
        <v>1296</v>
      </c>
      <c r="I62" s="184">
        <v>3456</v>
      </c>
      <c r="J62" s="185">
        <v>26352</v>
      </c>
    </row>
    <row r="63" spans="1:10">
      <c r="A63" s="461"/>
      <c r="B63" s="130" t="s">
        <v>348</v>
      </c>
      <c r="C63" s="183">
        <v>7</v>
      </c>
      <c r="D63" s="187">
        <v>3800</v>
      </c>
      <c r="E63" s="183">
        <v>1</v>
      </c>
      <c r="F63" s="184">
        <v>26600</v>
      </c>
      <c r="G63" s="184"/>
      <c r="H63" s="184">
        <v>1596</v>
      </c>
      <c r="I63" s="184">
        <v>4256</v>
      </c>
      <c r="J63" s="185">
        <v>32452</v>
      </c>
    </row>
    <row r="64" spans="1:10">
      <c r="A64" s="461"/>
      <c r="B64" s="130" t="s">
        <v>349</v>
      </c>
      <c r="C64" s="183">
        <v>6</v>
      </c>
      <c r="D64" s="187">
        <v>9800</v>
      </c>
      <c r="E64" s="183">
        <v>1</v>
      </c>
      <c r="F64" s="184">
        <v>58800</v>
      </c>
      <c r="G64" s="184"/>
      <c r="H64" s="184">
        <v>3528</v>
      </c>
      <c r="I64" s="184">
        <v>9408</v>
      </c>
      <c r="J64" s="185">
        <v>71736</v>
      </c>
    </row>
    <row r="65" spans="1:14">
      <c r="A65" s="203"/>
      <c r="B65" s="215" t="s">
        <v>78</v>
      </c>
      <c r="C65" s="196"/>
      <c r="D65" s="197"/>
      <c r="E65" s="196"/>
      <c r="F65" s="219">
        <f>SUM(F59:F64)</f>
        <v>202000</v>
      </c>
      <c r="G65" s="219">
        <f>SUM(G59:G64)</f>
        <v>0</v>
      </c>
      <c r="H65" s="219">
        <f>SUM(H59:H64)</f>
        <v>12120</v>
      </c>
      <c r="I65" s="219">
        <f>SUM(I59:I64)</f>
        <v>32320</v>
      </c>
      <c r="J65" s="219">
        <f>SUM(J59:J64)</f>
        <v>246440</v>
      </c>
    </row>
    <row r="66" spans="1:14">
      <c r="A66" s="199"/>
      <c r="B66" s="200" t="s">
        <v>113</v>
      </c>
      <c r="C66" s="201"/>
      <c r="D66" s="202"/>
      <c r="E66" s="201"/>
      <c r="F66" s="202">
        <f>F65</f>
        <v>202000</v>
      </c>
      <c r="G66" s="202">
        <f>G65</f>
        <v>0</v>
      </c>
      <c r="H66" s="202">
        <f>H65</f>
        <v>12120</v>
      </c>
      <c r="I66" s="202">
        <f>I65</f>
        <v>32320</v>
      </c>
      <c r="J66" s="220">
        <f>J65</f>
        <v>246440</v>
      </c>
    </row>
    <row r="67" spans="1:14">
      <c r="A67" s="199"/>
      <c r="B67" s="204"/>
      <c r="C67" s="196"/>
      <c r="D67" s="197"/>
      <c r="E67" s="196"/>
      <c r="F67" s="197"/>
      <c r="G67" s="197"/>
      <c r="H67" s="197"/>
      <c r="I67" s="197"/>
      <c r="J67" s="197"/>
    </row>
    <row r="68" spans="1:14">
      <c r="A68" s="477" t="s">
        <v>114</v>
      </c>
      <c r="B68" s="478"/>
      <c r="C68" s="167"/>
      <c r="D68" s="167"/>
      <c r="E68" s="167"/>
      <c r="F68" s="167"/>
      <c r="G68" s="167"/>
      <c r="H68" s="167"/>
      <c r="I68" s="167"/>
      <c r="J68" s="167"/>
    </row>
    <row r="69" spans="1:14">
      <c r="A69" s="221" t="s">
        <v>62</v>
      </c>
      <c r="B69" s="222" t="s">
        <v>13</v>
      </c>
      <c r="C69" s="223" t="s">
        <v>63</v>
      </c>
      <c r="D69" s="223" t="s">
        <v>64</v>
      </c>
      <c r="E69" s="223" t="s">
        <v>65</v>
      </c>
      <c r="F69" s="223" t="s">
        <v>66</v>
      </c>
      <c r="G69" s="223" t="s">
        <v>27</v>
      </c>
      <c r="H69" s="223" t="s">
        <v>68</v>
      </c>
      <c r="I69" s="223" t="s">
        <v>69</v>
      </c>
      <c r="J69" s="224" t="s">
        <v>70</v>
      </c>
    </row>
    <row r="70" spans="1:14" s="41" customFormat="1">
      <c r="A70" s="210"/>
      <c r="B70" s="130"/>
      <c r="C70" s="186"/>
      <c r="D70" s="187"/>
      <c r="E70" s="186"/>
      <c r="F70" s="187"/>
      <c r="G70" s="187"/>
      <c r="H70" s="187"/>
      <c r="I70" s="187"/>
      <c r="J70" s="188"/>
    </row>
    <row r="71" spans="1:14" s="41" customFormat="1">
      <c r="A71" s="210"/>
      <c r="B71" s="130"/>
      <c r="C71" s="186"/>
      <c r="D71" s="187"/>
      <c r="E71" s="186"/>
      <c r="F71" s="187"/>
      <c r="G71" s="187"/>
      <c r="H71" s="187"/>
      <c r="I71" s="187"/>
      <c r="J71" s="188"/>
    </row>
    <row r="72" spans="1:14" s="41" customFormat="1">
      <c r="A72" s="205"/>
      <c r="B72" s="177"/>
      <c r="C72" s="178"/>
      <c r="D72" s="179"/>
      <c r="E72" s="178"/>
      <c r="F72" s="179">
        <f>E72+D72+C72</f>
        <v>0</v>
      </c>
      <c r="G72" s="179"/>
      <c r="H72" s="179"/>
      <c r="I72" s="179">
        <f>F72*16%</f>
        <v>0</v>
      </c>
      <c r="J72" s="180">
        <f>I72+H72+G72+F72</f>
        <v>0</v>
      </c>
    </row>
    <row r="73" spans="1:14">
      <c r="A73" s="203"/>
      <c r="B73" s="215" t="s">
        <v>78</v>
      </c>
      <c r="C73" s="196"/>
      <c r="D73" s="197"/>
      <c r="E73" s="196"/>
      <c r="F73" s="198">
        <f>SUM(F70:F72)</f>
        <v>0</v>
      </c>
      <c r="G73" s="198">
        <f>SUM(G70:G72)</f>
        <v>0</v>
      </c>
      <c r="H73" s="198">
        <f>SUM(H70:H72)</f>
        <v>0</v>
      </c>
      <c r="I73" s="198">
        <f>SUM(I70:I72)</f>
        <v>0</v>
      </c>
      <c r="J73" s="198">
        <f>SUM(J70:J72)</f>
        <v>0</v>
      </c>
    </row>
    <row r="74" spans="1:14">
      <c r="A74" s="199"/>
      <c r="B74" s="200" t="s">
        <v>173</v>
      </c>
      <c r="C74" s="201"/>
      <c r="D74" s="202"/>
      <c r="E74" s="201"/>
      <c r="F74" s="202">
        <f>SUM(F73)</f>
        <v>0</v>
      </c>
      <c r="G74" s="202">
        <f>SUM(G73)</f>
        <v>0</v>
      </c>
      <c r="H74" s="202">
        <f>SUM(H73)</f>
        <v>0</v>
      </c>
      <c r="I74" s="202">
        <f>SUM(I73)</f>
        <v>0</v>
      </c>
      <c r="J74" s="202">
        <f>SUM(J73)</f>
        <v>0</v>
      </c>
    </row>
    <row r="75" spans="1:14">
      <c r="A75" s="199"/>
      <c r="B75" s="204"/>
      <c r="C75" s="196"/>
      <c r="D75" s="197"/>
      <c r="E75" s="196"/>
      <c r="F75" s="197"/>
      <c r="G75" s="197"/>
      <c r="H75" s="197"/>
      <c r="I75" s="197"/>
      <c r="J75" s="197"/>
      <c r="N75" t="s">
        <v>116</v>
      </c>
    </row>
    <row r="76" spans="1:14">
      <c r="A76" s="477" t="s">
        <v>117</v>
      </c>
      <c r="B76" s="478"/>
      <c r="C76" s="167"/>
      <c r="D76" s="167"/>
      <c r="E76" s="167"/>
      <c r="F76" s="167"/>
      <c r="G76" s="167"/>
      <c r="H76" s="167"/>
      <c r="I76" s="167"/>
      <c r="J76" s="167"/>
    </row>
    <row r="77" spans="1:14">
      <c r="A77" s="168" t="s">
        <v>62</v>
      </c>
      <c r="B77" s="169" t="s">
        <v>13</v>
      </c>
      <c r="C77" s="170" t="s">
        <v>63</v>
      </c>
      <c r="D77" s="170" t="s">
        <v>64</v>
      </c>
      <c r="E77" s="170" t="s">
        <v>65</v>
      </c>
      <c r="F77" s="170" t="s">
        <v>66</v>
      </c>
      <c r="G77" s="170" t="s">
        <v>27</v>
      </c>
      <c r="H77" s="170" t="s">
        <v>68</v>
      </c>
      <c r="I77" s="170" t="s">
        <v>69</v>
      </c>
      <c r="J77" s="171" t="s">
        <v>70</v>
      </c>
      <c r="N77" t="s">
        <v>116</v>
      </c>
    </row>
    <row r="78" spans="1:14" s="41" customFormat="1" ht="24.75">
      <c r="A78" s="460" t="s">
        <v>324</v>
      </c>
      <c r="B78" s="172" t="s">
        <v>118</v>
      </c>
      <c r="C78" s="173">
        <v>410</v>
      </c>
      <c r="D78" s="174">
        <v>60</v>
      </c>
      <c r="E78" s="173">
        <v>0</v>
      </c>
      <c r="F78" s="174">
        <f>SUM(C78*D78*E78)</f>
        <v>0</v>
      </c>
      <c r="G78" s="174"/>
      <c r="H78" s="174"/>
      <c r="I78" s="174">
        <f>F78*16%</f>
        <v>0</v>
      </c>
      <c r="J78" s="175">
        <f>I78+H78+G78+F78</f>
        <v>0</v>
      </c>
    </row>
    <row r="79" spans="1:14" s="41" customFormat="1" ht="51.75" customHeight="1">
      <c r="A79" s="461"/>
      <c r="B79" s="132" t="s">
        <v>350</v>
      </c>
      <c r="C79" s="183">
        <v>1</v>
      </c>
      <c r="D79" s="184">
        <v>0</v>
      </c>
      <c r="E79" s="183">
        <v>0</v>
      </c>
      <c r="F79" s="184">
        <f>SUM(C79*D79*E79)</f>
        <v>0</v>
      </c>
      <c r="G79" s="184"/>
      <c r="H79" s="184"/>
      <c r="I79" s="184">
        <f>F79*16%</f>
        <v>0</v>
      </c>
      <c r="J79" s="185">
        <f>I79+H79+G79+F79</f>
        <v>0</v>
      </c>
    </row>
    <row r="80" spans="1:14" s="41" customFormat="1" ht="54" customHeight="1">
      <c r="A80" s="189" t="s">
        <v>71</v>
      </c>
      <c r="B80" s="127" t="s">
        <v>326</v>
      </c>
      <c r="C80" s="212">
        <v>1</v>
      </c>
      <c r="D80" s="213">
        <v>0</v>
      </c>
      <c r="E80" s="212">
        <v>1</v>
      </c>
      <c r="F80" s="213">
        <f>SUM(C80*D80*E80)</f>
        <v>0</v>
      </c>
      <c r="G80" s="213"/>
      <c r="H80" s="213"/>
      <c r="I80" s="213">
        <f>F80*16%</f>
        <v>0</v>
      </c>
      <c r="J80" s="214">
        <f>I80+H80+G80+F80</f>
        <v>0</v>
      </c>
    </row>
    <row r="81" spans="1:10" s="41" customFormat="1" ht="33.75" customHeight="1">
      <c r="A81" s="276" t="s">
        <v>125</v>
      </c>
      <c r="B81" s="126" t="s">
        <v>351</v>
      </c>
      <c r="C81" s="206">
        <v>1</v>
      </c>
      <c r="D81" s="207">
        <v>0</v>
      </c>
      <c r="E81" s="206">
        <v>1</v>
      </c>
      <c r="F81" s="207">
        <f>SUM(C81*D81*E81)</f>
        <v>0</v>
      </c>
      <c r="G81" s="207"/>
      <c r="H81" s="207"/>
      <c r="I81" s="207">
        <f>F81*16%</f>
        <v>0</v>
      </c>
      <c r="J81" s="208">
        <f>I81+H81+G81+F81</f>
        <v>0</v>
      </c>
    </row>
    <row r="82" spans="1:10" s="41" customFormat="1" ht="49.5" customHeight="1">
      <c r="A82" s="279" t="s">
        <v>352</v>
      </c>
      <c r="B82" s="278" t="s">
        <v>353</v>
      </c>
      <c r="C82" s="173">
        <v>7</v>
      </c>
      <c r="D82" s="174">
        <v>0</v>
      </c>
      <c r="E82" s="173">
        <v>3</v>
      </c>
      <c r="F82" s="174">
        <f>SUM(C82*D82*E82)</f>
        <v>0</v>
      </c>
      <c r="G82" s="174"/>
      <c r="H82" s="174"/>
      <c r="I82" s="174">
        <f>F82*16%</f>
        <v>0</v>
      </c>
      <c r="J82" s="175">
        <f>I82+H82+G82+F82</f>
        <v>0</v>
      </c>
    </row>
    <row r="83" spans="1:10">
      <c r="A83" s="194"/>
      <c r="B83" s="195" t="s">
        <v>78</v>
      </c>
      <c r="C83" s="196"/>
      <c r="D83" s="197"/>
      <c r="E83" s="196"/>
      <c r="F83" s="226">
        <f>SUM(F78:F82)</f>
        <v>0</v>
      </c>
      <c r="G83" s="226">
        <f>SUM(G78:G82)</f>
        <v>0</v>
      </c>
      <c r="H83" s="226">
        <f>SUM(H78:H82)</f>
        <v>0</v>
      </c>
      <c r="I83" s="226">
        <f>SUM(I78:I82)</f>
        <v>0</v>
      </c>
      <c r="J83" s="226">
        <f>SUM(J78:J82)</f>
        <v>0</v>
      </c>
    </row>
    <row r="84" spans="1:10">
      <c r="A84" s="199"/>
      <c r="B84" s="200" t="s">
        <v>135</v>
      </c>
      <c r="C84" s="201"/>
      <c r="D84" s="202"/>
      <c r="E84" s="201"/>
      <c r="F84" s="202">
        <f>F83</f>
        <v>0</v>
      </c>
      <c r="G84" s="202">
        <f>G83</f>
        <v>0</v>
      </c>
      <c r="H84" s="202">
        <f>H83</f>
        <v>0</v>
      </c>
      <c r="I84" s="202">
        <f>I83</f>
        <v>0</v>
      </c>
      <c r="J84" s="220">
        <f>J83</f>
        <v>0</v>
      </c>
    </row>
    <row r="85" spans="1:10">
      <c r="A85" s="199"/>
      <c r="B85" s="204"/>
      <c r="C85" s="196"/>
      <c r="D85" s="197"/>
      <c r="E85" s="196"/>
      <c r="F85" s="197"/>
      <c r="G85" s="197"/>
      <c r="H85" s="197"/>
      <c r="I85" s="197"/>
      <c r="J85" s="197"/>
    </row>
    <row r="86" spans="1:10">
      <c r="A86" s="477" t="s">
        <v>136</v>
      </c>
      <c r="B86" s="478"/>
      <c r="C86" s="167"/>
      <c r="D86" s="167"/>
      <c r="E86" s="167"/>
      <c r="F86" s="167"/>
      <c r="G86" s="167"/>
      <c r="H86" s="167"/>
      <c r="I86" s="167"/>
      <c r="J86" s="167"/>
    </row>
    <row r="87" spans="1:10">
      <c r="A87" s="168" t="s">
        <v>62</v>
      </c>
      <c r="B87" s="169" t="s">
        <v>13</v>
      </c>
      <c r="C87" s="170" t="s">
        <v>63</v>
      </c>
      <c r="D87" s="170" t="s">
        <v>64</v>
      </c>
      <c r="E87" s="170" t="s">
        <v>65</v>
      </c>
      <c r="F87" s="170" t="s">
        <v>66</v>
      </c>
      <c r="G87" s="170" t="s">
        <v>27</v>
      </c>
      <c r="H87" s="170" t="s">
        <v>68</v>
      </c>
      <c r="I87" s="170" t="s">
        <v>69</v>
      </c>
      <c r="J87" s="171" t="s">
        <v>70</v>
      </c>
    </row>
    <row r="88" spans="1:10" s="41" customFormat="1" ht="24.75">
      <c r="A88" s="479" t="s">
        <v>137</v>
      </c>
      <c r="B88" s="172" t="s">
        <v>138</v>
      </c>
      <c r="C88" s="173">
        <v>4</v>
      </c>
      <c r="D88" s="174">
        <v>8462.16</v>
      </c>
      <c r="E88" s="173">
        <v>5</v>
      </c>
      <c r="F88" s="174">
        <f>SUM(C88*D88*E88)</f>
        <v>169243.2</v>
      </c>
      <c r="G88" s="174">
        <f>0*C88*E88</f>
        <v>0</v>
      </c>
      <c r="H88" s="174">
        <f>774.5*C88*E88</f>
        <v>15490</v>
      </c>
      <c r="I88" s="174">
        <f>1489.34*C88*E88</f>
        <v>29786.799999999999</v>
      </c>
      <c r="J88" s="175">
        <f>I88+H88+G88+F88</f>
        <v>214520</v>
      </c>
    </row>
    <row r="89" spans="1:10" s="41" customFormat="1">
      <c r="A89" s="481"/>
      <c r="B89" s="177" t="s">
        <v>73</v>
      </c>
      <c r="C89" s="178">
        <v>4</v>
      </c>
      <c r="D89" s="187">
        <v>82.12</v>
      </c>
      <c r="E89" s="186">
        <v>5</v>
      </c>
      <c r="F89" s="187"/>
      <c r="G89" s="187"/>
      <c r="H89" s="187">
        <f>E89*D89*C89</f>
        <v>1642.4</v>
      </c>
      <c r="I89" s="187">
        <v>0</v>
      </c>
      <c r="J89" s="188">
        <f>I89+H89+G89+F89</f>
        <v>1642.4</v>
      </c>
    </row>
    <row r="90" spans="1:10" s="41" customFormat="1" ht="24.75">
      <c r="A90" s="481"/>
      <c r="B90" s="172" t="s">
        <v>139</v>
      </c>
      <c r="C90" s="173">
        <v>1</v>
      </c>
      <c r="D90" s="174">
        <v>8462.16</v>
      </c>
      <c r="E90" s="173">
        <v>5</v>
      </c>
      <c r="F90" s="174">
        <f>SUM(C90*D90*E90)</f>
        <v>42310.8</v>
      </c>
      <c r="G90" s="174">
        <f>0*C90*E90</f>
        <v>0</v>
      </c>
      <c r="H90" s="174">
        <f>774.5*C90*E90</f>
        <v>3872.5</v>
      </c>
      <c r="I90" s="174">
        <f>1489.34*C90*E90</f>
        <v>7446.7</v>
      </c>
      <c r="J90" s="175">
        <f>I90+H90+G90+F90</f>
        <v>53630</v>
      </c>
    </row>
    <row r="91" spans="1:10" s="41" customFormat="1">
      <c r="A91" s="481"/>
      <c r="B91" s="177" t="s">
        <v>73</v>
      </c>
      <c r="C91" s="178">
        <v>1</v>
      </c>
      <c r="D91" s="187">
        <v>82.12</v>
      </c>
      <c r="E91" s="186">
        <v>5</v>
      </c>
      <c r="F91" s="187"/>
      <c r="G91" s="187"/>
      <c r="H91" s="187">
        <f>E91*D91*C91</f>
        <v>410.6</v>
      </c>
      <c r="I91" s="187">
        <v>0</v>
      </c>
      <c r="J91" s="188">
        <f>I91+H91+G91+F91</f>
        <v>410.6</v>
      </c>
    </row>
    <row r="92" spans="1:10" s="41" customFormat="1">
      <c r="A92" s="481"/>
      <c r="B92" s="524" t="s">
        <v>354</v>
      </c>
      <c r="C92" s="525">
        <v>10</v>
      </c>
      <c r="D92" s="526">
        <v>5497</v>
      </c>
      <c r="E92" s="525">
        <v>1</v>
      </c>
      <c r="F92" s="527">
        <f>SUM(C92*D92*E92)</f>
        <v>54970</v>
      </c>
      <c r="G92" s="526">
        <v>0</v>
      </c>
      <c r="H92" s="526">
        <f>2655*C92</f>
        <v>26550</v>
      </c>
      <c r="I92" s="526">
        <f>880*C92</f>
        <v>8800</v>
      </c>
      <c r="J92" s="526">
        <f>I92+H92+G92+F92</f>
        <v>90320</v>
      </c>
    </row>
    <row r="93" spans="1:10" s="41" customFormat="1">
      <c r="A93" s="482"/>
      <c r="B93" s="528" t="s">
        <v>141</v>
      </c>
      <c r="C93" s="529">
        <v>10</v>
      </c>
      <c r="D93" s="530">
        <v>230</v>
      </c>
      <c r="E93" s="529">
        <v>1</v>
      </c>
      <c r="F93" s="530">
        <f>C93*D93*E93</f>
        <v>2300</v>
      </c>
      <c r="G93" s="530"/>
      <c r="H93" s="530"/>
      <c r="I93" s="530">
        <f>F93*16%</f>
        <v>368</v>
      </c>
      <c r="J93" s="530">
        <f>SUM(F93:I93)</f>
        <v>2668</v>
      </c>
    </row>
    <row r="94" spans="1:10" s="41" customFormat="1" ht="19.899999999999999" customHeight="1">
      <c r="A94" s="480"/>
      <c r="B94" s="177" t="s">
        <v>142</v>
      </c>
      <c r="C94" s="178">
        <v>10</v>
      </c>
      <c r="D94" s="179">
        <v>1500</v>
      </c>
      <c r="E94" s="178">
        <v>5</v>
      </c>
      <c r="F94" s="179">
        <f>SUM(C94*D94*E94)</f>
        <v>75000</v>
      </c>
      <c r="G94" s="179">
        <v>0</v>
      </c>
      <c r="H94" s="179">
        <v>0</v>
      </c>
      <c r="I94" s="179">
        <f>(F94*16%)+(G94*16%)+(H94*16%)</f>
        <v>12000</v>
      </c>
      <c r="J94" s="180">
        <f>I94+H94+G94+F94</f>
        <v>87000</v>
      </c>
    </row>
    <row r="95" spans="1:10">
      <c r="A95" s="203"/>
      <c r="B95" s="215" t="s">
        <v>78</v>
      </c>
      <c r="C95" s="227"/>
      <c r="D95" s="228"/>
      <c r="E95" s="227"/>
      <c r="F95" s="229">
        <f>SUM(F88:F94)</f>
        <v>343824</v>
      </c>
      <c r="G95" s="229">
        <f>SUM(G88:G94)</f>
        <v>0</v>
      </c>
      <c r="H95" s="229">
        <f>SUM(H88:H94)</f>
        <v>47965.5</v>
      </c>
      <c r="I95" s="229">
        <f>SUM(I88:I94)</f>
        <v>58401.5</v>
      </c>
      <c r="J95" s="229">
        <f>SUM(J88:J94)</f>
        <v>450191</v>
      </c>
    </row>
    <row r="96" spans="1:10" ht="25.5">
      <c r="A96" s="199"/>
      <c r="B96" s="200" t="s">
        <v>143</v>
      </c>
      <c r="C96" s="201"/>
      <c r="D96" s="202"/>
      <c r="E96" s="201"/>
      <c r="F96" s="202">
        <f>F95</f>
        <v>343824</v>
      </c>
      <c r="G96" s="202">
        <f>G95</f>
        <v>0</v>
      </c>
      <c r="H96" s="202">
        <f>H95</f>
        <v>47965.5</v>
      </c>
      <c r="I96" s="202">
        <f>I95</f>
        <v>58401.5</v>
      </c>
      <c r="J96" s="202">
        <f>J95</f>
        <v>450191</v>
      </c>
    </row>
    <row r="97" spans="1:10">
      <c r="A97" s="199"/>
      <c r="B97" s="230"/>
      <c r="C97" s="231"/>
      <c r="D97" s="232"/>
      <c r="E97" s="231"/>
      <c r="F97" s="232"/>
      <c r="G97" s="232"/>
      <c r="H97" s="232"/>
      <c r="I97" s="232"/>
      <c r="J97" s="232"/>
    </row>
    <row r="98" spans="1:10" ht="22.5">
      <c r="A98" s="483" t="s">
        <v>1</v>
      </c>
      <c r="B98" s="483"/>
      <c r="C98" s="483"/>
      <c r="D98" s="483"/>
      <c r="E98" s="483"/>
      <c r="F98" s="232"/>
      <c r="G98" s="232"/>
      <c r="H98" s="232"/>
      <c r="I98" s="232"/>
      <c r="J98" s="232"/>
    </row>
    <row r="99" spans="1:10">
      <c r="A99" s="233"/>
      <c r="B99" s="234"/>
      <c r="C99" s="201"/>
      <c r="D99" s="202"/>
      <c r="E99" s="235" t="s">
        <v>144</v>
      </c>
      <c r="F99" s="202">
        <f>F28</f>
        <v>5563606.9999999991</v>
      </c>
      <c r="G99" s="202">
        <f>G28</f>
        <v>142.16999999999999</v>
      </c>
      <c r="H99" s="202">
        <f>H28</f>
        <v>529563.30000000005</v>
      </c>
      <c r="I99" s="202">
        <f>I28</f>
        <v>978446.84719999984</v>
      </c>
      <c r="J99" s="202">
        <f>SUM(F99:I99)</f>
        <v>7071759.3171999985</v>
      </c>
    </row>
    <row r="100" spans="1:10">
      <c r="A100" s="233"/>
      <c r="B100" s="234"/>
      <c r="C100" s="201"/>
      <c r="D100" s="202"/>
      <c r="E100" s="235" t="s">
        <v>145</v>
      </c>
      <c r="F100" s="202">
        <f>F54</f>
        <v>393600</v>
      </c>
      <c r="G100" s="202">
        <f>G54</f>
        <v>0</v>
      </c>
      <c r="H100" s="202">
        <f>H54</f>
        <v>59040</v>
      </c>
      <c r="I100" s="202">
        <f>I54</f>
        <v>72422.399999999994</v>
      </c>
      <c r="J100" s="202">
        <f>SUM(F100:I100)</f>
        <v>525062.40000000002</v>
      </c>
    </row>
    <row r="101" spans="1:10">
      <c r="A101" s="233"/>
      <c r="B101" s="234"/>
      <c r="C101" s="201"/>
      <c r="D101" s="202"/>
      <c r="E101" s="235" t="s">
        <v>146</v>
      </c>
      <c r="F101" s="202">
        <f>F66</f>
        <v>202000</v>
      </c>
      <c r="G101" s="202">
        <f>G66</f>
        <v>0</v>
      </c>
      <c r="H101" s="202">
        <f>H66</f>
        <v>12120</v>
      </c>
      <c r="I101" s="202">
        <f>I66</f>
        <v>32320</v>
      </c>
      <c r="J101" s="202">
        <f>SUM(F101:I101)</f>
        <v>246440</v>
      </c>
    </row>
    <row r="102" spans="1:10">
      <c r="A102" s="233"/>
      <c r="B102" s="234"/>
      <c r="C102" s="201"/>
      <c r="D102" s="202"/>
      <c r="E102" s="235" t="str">
        <f>A68</f>
        <v>TELEMARKETING</v>
      </c>
      <c r="F102" s="202">
        <f>F74</f>
        <v>0</v>
      </c>
      <c r="G102" s="202">
        <f>G74</f>
        <v>0</v>
      </c>
      <c r="H102" s="202">
        <f>H74</f>
        <v>0</v>
      </c>
      <c r="I102" s="202">
        <f>I74</f>
        <v>0</v>
      </c>
      <c r="J102" s="202">
        <f>SUM(F102:I102)</f>
        <v>0</v>
      </c>
    </row>
    <row r="103" spans="1:10">
      <c r="A103" s="233"/>
      <c r="B103" s="234"/>
      <c r="C103" s="201"/>
      <c r="D103" s="202"/>
      <c r="E103" s="235" t="s">
        <v>30</v>
      </c>
      <c r="F103" s="202">
        <f>F84</f>
        <v>0</v>
      </c>
      <c r="G103" s="202">
        <f>G84</f>
        <v>0</v>
      </c>
      <c r="H103" s="202">
        <f>H84</f>
        <v>0</v>
      </c>
      <c r="I103" s="202">
        <f>I84</f>
        <v>0</v>
      </c>
      <c r="J103" s="202">
        <f>SUM(F103:I103)</f>
        <v>0</v>
      </c>
    </row>
    <row r="104" spans="1:10">
      <c r="A104" s="236"/>
      <c r="B104" s="237"/>
      <c r="C104" s="238"/>
      <c r="D104" s="239"/>
      <c r="E104" s="240" t="s">
        <v>147</v>
      </c>
      <c r="F104" s="239">
        <f>SUM(F99:F103)</f>
        <v>6159206.9999999991</v>
      </c>
      <c r="G104" s="239">
        <f>SUM(G99:G103)</f>
        <v>142.16999999999999</v>
      </c>
      <c r="H104" s="239">
        <f>SUM(H99:H103)</f>
        <v>600723.30000000005</v>
      </c>
      <c r="I104" s="239">
        <f>SUM(I99:I103)</f>
        <v>1083189.2471999999</v>
      </c>
      <c r="J104" s="239">
        <f>SUM(J99:J103)</f>
        <v>7843261.7171999989</v>
      </c>
    </row>
    <row r="105" spans="1:10">
      <c r="A105" s="233"/>
      <c r="B105" s="234"/>
      <c r="C105" s="201"/>
      <c r="D105" s="202"/>
      <c r="E105" s="235" t="s">
        <v>148</v>
      </c>
      <c r="F105" s="202">
        <f>(F99+F100+F101+F102+F103)*6%</f>
        <v>369552.41999999993</v>
      </c>
      <c r="G105" s="202"/>
      <c r="H105" s="202"/>
      <c r="I105" s="202">
        <f>F105*16%</f>
        <v>59128.38719999999</v>
      </c>
      <c r="J105" s="202">
        <f>SUM(F105:I105)</f>
        <v>428680.80719999992</v>
      </c>
    </row>
    <row r="106" spans="1:10">
      <c r="A106" s="233"/>
      <c r="B106" s="234"/>
      <c r="C106" s="201"/>
      <c r="D106" s="202"/>
      <c r="E106" s="235" t="s">
        <v>149</v>
      </c>
      <c r="F106" s="202">
        <f>F96</f>
        <v>343824</v>
      </c>
      <c r="G106" s="202">
        <f>G96</f>
        <v>0</v>
      </c>
      <c r="H106" s="202">
        <f>H96</f>
        <v>47965.5</v>
      </c>
      <c r="I106" s="202">
        <f>I96</f>
        <v>58401.5</v>
      </c>
      <c r="J106" s="202">
        <f>SUM(F106:I106)</f>
        <v>450191</v>
      </c>
    </row>
    <row r="107" spans="1:10">
      <c r="A107" s="236"/>
      <c r="B107" s="237"/>
      <c r="C107" s="238"/>
      <c r="D107" s="239"/>
      <c r="E107" s="240" t="s">
        <v>150</v>
      </c>
      <c r="F107" s="239">
        <f>SUM(F104:F106)</f>
        <v>6872583.419999999</v>
      </c>
      <c r="G107" s="239">
        <f>SUM(G104:G106)</f>
        <v>142.16999999999999</v>
      </c>
      <c r="H107" s="239">
        <f>SUM(H104:H106)</f>
        <v>648688.80000000005</v>
      </c>
      <c r="I107" s="239">
        <f>SUM(I104:I106)</f>
        <v>1200719.1343999999</v>
      </c>
      <c r="J107" s="239">
        <f>SUM(J104:J106)</f>
        <v>8722133.5243999995</v>
      </c>
    </row>
    <row r="110" spans="1:10">
      <c r="A110" s="241" t="s">
        <v>151</v>
      </c>
    </row>
  </sheetData>
  <mergeCells count="26">
    <mergeCell ref="B11:J11"/>
    <mergeCell ref="A1:J5"/>
    <mergeCell ref="B7:J7"/>
    <mergeCell ref="B8:J8"/>
    <mergeCell ref="B9:J9"/>
    <mergeCell ref="B10:J10"/>
    <mergeCell ref="A47:A51"/>
    <mergeCell ref="B12:J12"/>
    <mergeCell ref="B13:J13"/>
    <mergeCell ref="F14:G14"/>
    <mergeCell ref="H14:J14"/>
    <mergeCell ref="A17:B17"/>
    <mergeCell ref="A19:A20"/>
    <mergeCell ref="A21:A25"/>
    <mergeCell ref="A31:B31"/>
    <mergeCell ref="A33:A34"/>
    <mergeCell ref="A35:A40"/>
    <mergeCell ref="A41:A46"/>
    <mergeCell ref="A86:B86"/>
    <mergeCell ref="A88:A94"/>
    <mergeCell ref="A98:E98"/>
    <mergeCell ref="A57:B57"/>
    <mergeCell ref="A59:A64"/>
    <mergeCell ref="A68:B68"/>
    <mergeCell ref="A76:B76"/>
    <mergeCell ref="A78:A7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A922-ABA5-45E4-A5CA-89249ECD7BB9}">
  <sheetPr>
    <tabColor theme="0"/>
  </sheetPr>
  <dimension ref="A1:N135"/>
  <sheetViews>
    <sheetView topLeftCell="A98" zoomScale="70" zoomScaleNormal="70" workbookViewId="0"/>
  </sheetViews>
  <sheetFormatPr defaultColWidth="8.85546875" defaultRowHeight="14.45"/>
  <cols>
    <col min="1" max="1" width="20.7109375" customWidth="1"/>
    <col min="2" max="2" width="49.140625" customWidth="1"/>
    <col min="3" max="3" width="10.5703125" customWidth="1"/>
    <col min="4" max="5" width="13.85546875" customWidth="1"/>
    <col min="6" max="6" width="16.85546875" customWidth="1"/>
    <col min="7" max="7" width="13.85546875" customWidth="1"/>
    <col min="8" max="8" width="12.5703125" bestFit="1" customWidth="1"/>
    <col min="9" max="9" width="14.28515625" bestFit="1" customWidth="1"/>
    <col min="10" max="10" width="19.28515625" customWidth="1"/>
    <col min="12" max="12" width="12.28515625" bestFit="1" customWidth="1"/>
  </cols>
  <sheetData>
    <row r="1" spans="1:10" ht="15" thickTop="1">
      <c r="A1" s="438" t="s">
        <v>44</v>
      </c>
      <c r="B1" s="439"/>
      <c r="C1" s="439"/>
      <c r="D1" s="439"/>
      <c r="E1" s="439"/>
      <c r="F1" s="439"/>
      <c r="G1" s="439"/>
      <c r="H1" s="439"/>
      <c r="I1" s="439"/>
      <c r="J1" s="440"/>
    </row>
    <row r="2" spans="1:10">
      <c r="A2" s="441"/>
      <c r="B2" s="442"/>
      <c r="C2" s="442"/>
      <c r="D2" s="442"/>
      <c r="E2" s="442"/>
      <c r="F2" s="442"/>
      <c r="G2" s="442"/>
      <c r="H2" s="442"/>
      <c r="I2" s="442"/>
      <c r="J2" s="443"/>
    </row>
    <row r="3" spans="1:10">
      <c r="A3" s="441"/>
      <c r="B3" s="442"/>
      <c r="C3" s="442"/>
      <c r="D3" s="442"/>
      <c r="E3" s="442"/>
      <c r="F3" s="442"/>
      <c r="G3" s="442"/>
      <c r="H3" s="442"/>
      <c r="I3" s="442"/>
      <c r="J3" s="443"/>
    </row>
    <row r="4" spans="1:10">
      <c r="A4" s="441"/>
      <c r="B4" s="442"/>
      <c r="C4" s="442"/>
      <c r="D4" s="442"/>
      <c r="E4" s="442"/>
      <c r="F4" s="442"/>
      <c r="G4" s="442"/>
      <c r="H4" s="442"/>
      <c r="I4" s="442"/>
      <c r="J4" s="443"/>
    </row>
    <row r="5" spans="1:10" ht="15" thickBot="1">
      <c r="A5" s="444"/>
      <c r="B5" s="445"/>
      <c r="C5" s="445"/>
      <c r="D5" s="445"/>
      <c r="E5" s="445"/>
      <c r="F5" s="445"/>
      <c r="G5" s="445"/>
      <c r="H5" s="445"/>
      <c r="I5" s="445"/>
      <c r="J5" s="446"/>
    </row>
    <row r="6" spans="1:10" ht="15" thickTop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 customHeight="1">
      <c r="A7" s="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6">
      <c r="A8" s="2" t="s">
        <v>46</v>
      </c>
      <c r="B8" s="448" t="s">
        <v>355</v>
      </c>
      <c r="C8" s="448"/>
      <c r="D8" s="448"/>
      <c r="E8" s="448"/>
      <c r="F8" s="448"/>
      <c r="G8" s="448"/>
      <c r="H8" s="448"/>
      <c r="I8" s="448"/>
      <c r="J8" s="448"/>
    </row>
    <row r="9" spans="1:10" ht="15.6">
      <c r="A9" s="2" t="s">
        <v>48</v>
      </c>
      <c r="B9" s="449" t="s">
        <v>356</v>
      </c>
      <c r="C9" s="449"/>
      <c r="D9" s="449"/>
      <c r="E9" s="449"/>
      <c r="F9" s="449"/>
      <c r="G9" s="449"/>
      <c r="H9" s="449"/>
      <c r="I9" s="449"/>
      <c r="J9" s="449"/>
    </row>
    <row r="10" spans="1:10" ht="15.6">
      <c r="A10" s="2" t="s">
        <v>50</v>
      </c>
      <c r="B10" s="450" t="s">
        <v>195</v>
      </c>
      <c r="C10" s="450"/>
      <c r="D10" s="450"/>
      <c r="E10" s="450"/>
      <c r="F10" s="450"/>
      <c r="G10" s="450"/>
      <c r="H10" s="450"/>
      <c r="I10" s="450"/>
      <c r="J10" s="450"/>
    </row>
    <row r="11" spans="1:10" ht="15.75">
      <c r="A11" s="2" t="s">
        <v>52</v>
      </c>
      <c r="B11" s="450" t="s">
        <v>337</v>
      </c>
      <c r="C11" s="450"/>
      <c r="D11" s="450"/>
      <c r="E11" s="450"/>
      <c r="F11" s="450"/>
      <c r="G11" s="450"/>
      <c r="H11" s="450"/>
      <c r="I11" s="450"/>
      <c r="J11" s="450"/>
    </row>
    <row r="12" spans="1:10" ht="15.6" customHeight="1">
      <c r="A12" s="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2" t="s">
        <v>56</v>
      </c>
      <c r="B13" s="450"/>
      <c r="C13" s="450"/>
      <c r="D13" s="450"/>
      <c r="E13" s="450"/>
      <c r="F13" s="450"/>
      <c r="G13" s="450"/>
      <c r="H13" s="450"/>
      <c r="I13" s="450"/>
      <c r="J13" s="450"/>
    </row>
    <row r="14" spans="1:10">
      <c r="A14" s="3" t="s">
        <v>57</v>
      </c>
      <c r="B14" s="4" t="s">
        <v>58</v>
      </c>
      <c r="C14" s="5" t="s">
        <v>59</v>
      </c>
      <c r="D14" s="6">
        <v>0</v>
      </c>
      <c r="E14" s="7"/>
      <c r="F14" s="451" t="s">
        <v>60</v>
      </c>
      <c r="G14" s="451"/>
      <c r="H14" s="452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" thickBo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ht="15" customHeight="1" thickBot="1">
      <c r="A17" s="431" t="s">
        <v>61</v>
      </c>
      <c r="B17" s="432"/>
      <c r="C17" s="7"/>
      <c r="D17" s="7"/>
      <c r="E17" s="7"/>
      <c r="F17" s="7"/>
      <c r="G17" s="7"/>
      <c r="H17" s="7"/>
      <c r="I17" s="7"/>
      <c r="J17" s="7"/>
    </row>
    <row r="18" spans="1:12" ht="15" thickBot="1">
      <c r="A18" s="78" t="s">
        <v>62</v>
      </c>
      <c r="B18" s="79" t="s">
        <v>13</v>
      </c>
      <c r="C18" s="80" t="s">
        <v>63</v>
      </c>
      <c r="D18" s="80" t="s">
        <v>64</v>
      </c>
      <c r="E18" s="80" t="s">
        <v>65</v>
      </c>
      <c r="F18" s="80" t="s">
        <v>66</v>
      </c>
      <c r="G18" s="80" t="s">
        <v>67</v>
      </c>
      <c r="H18" s="80" t="s">
        <v>68</v>
      </c>
      <c r="I18" s="80" t="s">
        <v>69</v>
      </c>
      <c r="J18" s="8" t="s">
        <v>70</v>
      </c>
    </row>
    <row r="19" spans="1:12" s="41" customFormat="1" ht="30" customHeight="1">
      <c r="A19" s="427" t="s">
        <v>71</v>
      </c>
      <c r="B19" s="70" t="s">
        <v>357</v>
      </c>
      <c r="C19" s="72">
        <v>1</v>
      </c>
      <c r="D19" s="74">
        <v>9478.2999999999993</v>
      </c>
      <c r="E19" s="72">
        <v>1</v>
      </c>
      <c r="F19" s="74">
        <f>SUM(C19*D19*E19)</f>
        <v>9478.2999999999993</v>
      </c>
      <c r="G19" s="74">
        <f>142.17*C19*E19</f>
        <v>142.16999999999999</v>
      </c>
      <c r="H19" s="74">
        <f>185*C19*E19</f>
        <v>185</v>
      </c>
      <c r="I19" s="74">
        <f>(F19+G19+H19)*16%</f>
        <v>1568.8751999999999</v>
      </c>
      <c r="J19" s="81">
        <f>I19+H19+G19+F19</f>
        <v>11374.3452</v>
      </c>
      <c r="L19" s="123"/>
    </row>
    <row r="20" spans="1:12" s="41" customFormat="1" ht="15">
      <c r="A20" s="429"/>
      <c r="B20" s="14" t="s">
        <v>73</v>
      </c>
      <c r="C20" s="15">
        <v>5</v>
      </c>
      <c r="D20" s="16">
        <v>34</v>
      </c>
      <c r="E20" s="15">
        <v>1</v>
      </c>
      <c r="F20" s="16"/>
      <c r="G20" s="16"/>
      <c r="H20" s="16">
        <f>E20*D20*C20</f>
        <v>170</v>
      </c>
      <c r="I20" s="16">
        <v>0</v>
      </c>
      <c r="J20" s="17">
        <f t="shared" ref="J20:J29" si="0">I20+H20+G20+F20</f>
        <v>170</v>
      </c>
    </row>
    <row r="21" spans="1:12" s="41" customFormat="1" ht="27" customHeight="1">
      <c r="A21" s="427" t="s">
        <v>74</v>
      </c>
      <c r="B21" s="46" t="s">
        <v>358</v>
      </c>
      <c r="C21" s="47">
        <v>30</v>
      </c>
      <c r="D21" s="74">
        <v>9478.2999999999993</v>
      </c>
      <c r="E21" s="72">
        <v>3</v>
      </c>
      <c r="F21" s="74">
        <f>SUM(C21*D21*E21)</f>
        <v>853047</v>
      </c>
      <c r="G21" s="74">
        <f>142.17*C21*E21</f>
        <v>12795.3</v>
      </c>
      <c r="H21" s="74">
        <f>185*C21*E21</f>
        <v>16650</v>
      </c>
      <c r="I21" s="74">
        <f>(F21+G21+H21)*16%</f>
        <v>141198.76800000001</v>
      </c>
      <c r="J21" s="81">
        <f>I21+H21+G21+F21</f>
        <v>1023691.068</v>
      </c>
    </row>
    <row r="22" spans="1:12" s="41" customFormat="1" ht="15">
      <c r="A22" s="428"/>
      <c r="B22" s="9" t="s">
        <v>73</v>
      </c>
      <c r="C22" s="10">
        <v>30</v>
      </c>
      <c r="D22" s="11">
        <v>34</v>
      </c>
      <c r="E22" s="10">
        <v>3</v>
      </c>
      <c r="F22" s="11"/>
      <c r="G22" s="11"/>
      <c r="H22" s="11">
        <f>E22*D22*C22</f>
        <v>3060</v>
      </c>
      <c r="I22" s="11">
        <v>0</v>
      </c>
      <c r="J22" s="12">
        <f t="shared" ref="J22" si="1">I22+H22+G22+F22</f>
        <v>3060</v>
      </c>
    </row>
    <row r="23" spans="1:12" s="41" customFormat="1" ht="27" customHeight="1">
      <c r="A23" s="428"/>
      <c r="B23" s="70" t="s">
        <v>359</v>
      </c>
      <c r="C23" s="72">
        <v>74</v>
      </c>
      <c r="D23" s="74">
        <v>9610.2099999999991</v>
      </c>
      <c r="E23" s="72">
        <v>3</v>
      </c>
      <c r="F23" s="74">
        <f>SUM(C23*D23*E23)</f>
        <v>2133466.6199999996</v>
      </c>
      <c r="G23" s="74">
        <f>144.15*C23*E23</f>
        <v>32001.300000000003</v>
      </c>
      <c r="H23" s="74">
        <f>370*C23*E23</f>
        <v>82140</v>
      </c>
      <c r="I23" s="74">
        <f>(F23+G23+H23)*16%</f>
        <v>359617.26719999994</v>
      </c>
      <c r="J23" s="81">
        <f t="shared" si="0"/>
        <v>2607225.1871999996</v>
      </c>
    </row>
    <row r="24" spans="1:12" s="41" customFormat="1" ht="15">
      <c r="A24" s="428"/>
      <c r="B24" s="42" t="s">
        <v>73</v>
      </c>
      <c r="C24" s="43">
        <v>74</v>
      </c>
      <c r="D24" s="44">
        <v>34</v>
      </c>
      <c r="E24" s="43">
        <v>3</v>
      </c>
      <c r="F24" s="44"/>
      <c r="G24" s="44"/>
      <c r="H24" s="44">
        <f>E24*D24*C24</f>
        <v>7548</v>
      </c>
      <c r="I24" s="44">
        <v>0</v>
      </c>
      <c r="J24" s="45">
        <f t="shared" si="0"/>
        <v>7548</v>
      </c>
    </row>
    <row r="25" spans="1:12" s="41" customFormat="1" ht="27" customHeight="1">
      <c r="A25" s="428"/>
      <c r="B25" s="70" t="s">
        <v>360</v>
      </c>
      <c r="C25" s="72">
        <v>100</v>
      </c>
      <c r="D25" s="74">
        <v>9899.57</v>
      </c>
      <c r="E25" s="72">
        <v>3</v>
      </c>
      <c r="F25" s="74">
        <f>SUM(C25*D25*E25)</f>
        <v>2969871</v>
      </c>
      <c r="G25" s="74">
        <f>148.49*C25*E25</f>
        <v>44547</v>
      </c>
      <c r="H25" s="74">
        <f>370*C25*E25</f>
        <v>111000</v>
      </c>
      <c r="I25" s="74">
        <f>(F25+G25+H25)*16%</f>
        <v>500066.88</v>
      </c>
      <c r="J25" s="81">
        <f t="shared" ref="J25:J26" si="2">I25+H25+G25+F25</f>
        <v>3625484.88</v>
      </c>
    </row>
    <row r="26" spans="1:12" s="41" customFormat="1" ht="15">
      <c r="A26" s="428"/>
      <c r="B26" s="42" t="s">
        <v>73</v>
      </c>
      <c r="C26" s="43">
        <v>100</v>
      </c>
      <c r="D26" s="44">
        <v>34</v>
      </c>
      <c r="E26" s="43">
        <v>3</v>
      </c>
      <c r="F26" s="44"/>
      <c r="G26" s="44"/>
      <c r="H26" s="44">
        <f>E26*D26*C26</f>
        <v>10200</v>
      </c>
      <c r="I26" s="44">
        <v>0</v>
      </c>
      <c r="J26" s="45">
        <f t="shared" si="2"/>
        <v>10200</v>
      </c>
    </row>
    <row r="27" spans="1:12" s="41" customFormat="1" ht="27" customHeight="1">
      <c r="A27" s="428"/>
      <c r="B27" s="70" t="s">
        <v>361</v>
      </c>
      <c r="C27" s="72">
        <v>16</v>
      </c>
      <c r="D27" s="74">
        <v>11346.38</v>
      </c>
      <c r="E27" s="72">
        <v>3</v>
      </c>
      <c r="F27" s="74">
        <f>SUM(C27*D27*E27)</f>
        <v>544626.24</v>
      </c>
      <c r="G27" s="74">
        <f>170.2*C27*E27</f>
        <v>8169.5999999999995</v>
      </c>
      <c r="H27" s="74">
        <f>370*C27*E27</f>
        <v>17760</v>
      </c>
      <c r="I27" s="74">
        <f>(F27+G27+H27)*16%</f>
        <v>91288.934399999998</v>
      </c>
      <c r="J27" s="81">
        <f t="shared" ref="J27:J28" si="3">I27+H27+G27+F27</f>
        <v>661844.77439999999</v>
      </c>
    </row>
    <row r="28" spans="1:12" s="41" customFormat="1" ht="15">
      <c r="A28" s="428"/>
      <c r="B28" s="42" t="s">
        <v>73</v>
      </c>
      <c r="C28" s="43">
        <v>16</v>
      </c>
      <c r="D28" s="44">
        <v>34</v>
      </c>
      <c r="E28" s="43">
        <v>3</v>
      </c>
      <c r="F28" s="44"/>
      <c r="G28" s="44"/>
      <c r="H28" s="44">
        <f>E28*D28*C28</f>
        <v>1632</v>
      </c>
      <c r="I28" s="44">
        <v>0</v>
      </c>
      <c r="J28" s="45">
        <f t="shared" si="3"/>
        <v>1632</v>
      </c>
    </row>
    <row r="29" spans="1:12" s="41" customFormat="1" ht="15">
      <c r="A29" s="429"/>
      <c r="B29" s="99" t="s">
        <v>76</v>
      </c>
      <c r="C29" s="100">
        <v>-4</v>
      </c>
      <c r="D29" s="101">
        <v>-9478.2999999999993</v>
      </c>
      <c r="E29" s="100">
        <v>-3</v>
      </c>
      <c r="F29" s="101">
        <f>SUM(C29*D29*E29)</f>
        <v>-113739.59999999999</v>
      </c>
      <c r="G29" s="248">
        <f>-142.17*C29*E29</f>
        <v>-1706.04</v>
      </c>
      <c r="H29" s="277">
        <f>500*4*4</f>
        <v>8000</v>
      </c>
      <c r="I29" s="248">
        <f>(F29+G29+H29)*16%</f>
        <v>-17191.302399999997</v>
      </c>
      <c r="J29" s="102">
        <f t="shared" si="0"/>
        <v>-124636.94239999999</v>
      </c>
    </row>
    <row r="30" spans="1:12" s="41" customFormat="1" ht="15">
      <c r="A30" s="418"/>
      <c r="B30" s="172" t="s">
        <v>77</v>
      </c>
      <c r="C30" s="173">
        <v>1</v>
      </c>
      <c r="D30" s="174">
        <v>50000</v>
      </c>
      <c r="E30" s="173">
        <v>1</v>
      </c>
      <c r="F30" s="174">
        <f>SUM(C30*D30*E30)</f>
        <v>50000</v>
      </c>
      <c r="G30" s="174">
        <f>142.17*C30*E30</f>
        <v>142.16999999999999</v>
      </c>
      <c r="H30" s="174">
        <f>185*C30*E30</f>
        <v>185</v>
      </c>
      <c r="I30" s="174">
        <f>(F30+G30+H30)*16%</f>
        <v>8052.3472000000002</v>
      </c>
      <c r="J30" s="175">
        <f>I30+H30+G30+F30</f>
        <v>58379.517200000002</v>
      </c>
    </row>
    <row r="31" spans="1:12" ht="15">
      <c r="A31" s="125"/>
      <c r="B31" s="124" t="s">
        <v>78</v>
      </c>
      <c r="C31" s="20"/>
      <c r="D31" s="21"/>
      <c r="E31" s="20"/>
      <c r="F31" s="22">
        <f>SUM(F19:F30)</f>
        <v>6446749.5600000005</v>
      </c>
      <c r="G31" s="22">
        <f>SUM(G19:G30)</f>
        <v>96091.500000000015</v>
      </c>
      <c r="H31" s="22">
        <f>SUM(H19:H30)</f>
        <v>258530</v>
      </c>
      <c r="I31" s="22">
        <f>SUM(I19:I30)</f>
        <v>1084601.7696</v>
      </c>
      <c r="J31" s="22">
        <f>SUM(J19:J30)</f>
        <v>7885972.8295999989</v>
      </c>
    </row>
    <row r="32" spans="1:12" ht="15" thickBot="1">
      <c r="A32" s="23"/>
      <c r="B32" s="28" t="s">
        <v>79</v>
      </c>
      <c r="C32" s="82"/>
      <c r="D32" s="83"/>
      <c r="E32" s="82"/>
      <c r="F32" s="83">
        <f>F31</f>
        <v>6446749.5600000005</v>
      </c>
      <c r="G32" s="83">
        <f t="shared" ref="G32:J32" si="4">G31</f>
        <v>96091.500000000015</v>
      </c>
      <c r="H32" s="83">
        <f t="shared" si="4"/>
        <v>258530</v>
      </c>
      <c r="I32" s="83">
        <f t="shared" si="4"/>
        <v>1084601.7696</v>
      </c>
      <c r="J32" s="83">
        <f t="shared" si="4"/>
        <v>7885972.8295999989</v>
      </c>
    </row>
    <row r="33" spans="1:10">
      <c r="A33" s="18"/>
      <c r="B33" s="29"/>
      <c r="C33" s="20"/>
      <c r="D33" s="30"/>
      <c r="E33" s="20"/>
      <c r="F33" s="30"/>
      <c r="G33" s="30"/>
      <c r="H33" s="30"/>
      <c r="I33" s="30"/>
      <c r="J33" s="30"/>
    </row>
    <row r="34" spans="1:10" ht="15" thickBot="1">
      <c r="A34" s="18"/>
      <c r="B34" s="29"/>
      <c r="C34" s="20"/>
      <c r="D34" s="30"/>
      <c r="E34" s="20"/>
      <c r="F34" s="30"/>
      <c r="G34" s="30"/>
      <c r="H34" s="30"/>
      <c r="I34" s="30"/>
      <c r="J34" s="30"/>
    </row>
    <row r="35" spans="1:10" ht="15" thickBot="1">
      <c r="A35" s="431" t="s">
        <v>80</v>
      </c>
      <c r="B35" s="432"/>
      <c r="C35" s="7"/>
      <c r="D35" s="7"/>
      <c r="E35" s="7"/>
      <c r="F35" s="7"/>
      <c r="G35" s="7"/>
      <c r="H35" s="7"/>
      <c r="I35" s="7"/>
      <c r="J35" s="7"/>
    </row>
    <row r="36" spans="1:10" ht="15" thickBot="1">
      <c r="A36" s="78" t="s">
        <v>62</v>
      </c>
      <c r="B36" s="79" t="s">
        <v>13</v>
      </c>
      <c r="C36" s="80" t="s">
        <v>63</v>
      </c>
      <c r="D36" s="80" t="s">
        <v>64</v>
      </c>
      <c r="E36" s="80" t="s">
        <v>65</v>
      </c>
      <c r="F36" s="80" t="s">
        <v>66</v>
      </c>
      <c r="G36" s="80" t="s">
        <v>27</v>
      </c>
      <c r="H36" s="80" t="s">
        <v>68</v>
      </c>
      <c r="I36" s="80" t="s">
        <v>69</v>
      </c>
      <c r="J36" s="8" t="s">
        <v>70</v>
      </c>
    </row>
    <row r="37" spans="1:10" s="41" customFormat="1" ht="36.75">
      <c r="A37" s="434" t="s">
        <v>71</v>
      </c>
      <c r="B37" s="128" t="s">
        <v>81</v>
      </c>
      <c r="C37" s="72">
        <v>5</v>
      </c>
      <c r="D37" s="71">
        <v>0</v>
      </c>
      <c r="E37" s="72">
        <v>1</v>
      </c>
      <c r="F37" s="74">
        <f t="shared" ref="F37:F43" si="5">SUM(C37*D37*E37)</f>
        <v>0</v>
      </c>
      <c r="G37" s="71"/>
      <c r="H37" s="71">
        <f t="shared" ref="H37:H40" si="6">F37*15%</f>
        <v>0</v>
      </c>
      <c r="I37" s="71">
        <f t="shared" ref="I37:I40" si="7">(F37*16%)+(H37*16%)</f>
        <v>0</v>
      </c>
      <c r="J37" s="73">
        <f t="shared" ref="J37:J43" si="8">I37+H37+G37+F37</f>
        <v>0</v>
      </c>
    </row>
    <row r="38" spans="1:10" s="41" customFormat="1" ht="15" thickBot="1">
      <c r="A38" s="436"/>
      <c r="B38" s="126" t="s">
        <v>362</v>
      </c>
      <c r="C38" s="57">
        <v>5</v>
      </c>
      <c r="D38" s="58">
        <v>0</v>
      </c>
      <c r="E38" s="57">
        <v>1</v>
      </c>
      <c r="F38" s="59">
        <f t="shared" si="5"/>
        <v>0</v>
      </c>
      <c r="G38" s="58"/>
      <c r="H38" s="58">
        <f t="shared" si="6"/>
        <v>0</v>
      </c>
      <c r="I38" s="58">
        <f t="shared" si="7"/>
        <v>0</v>
      </c>
      <c r="J38" s="60">
        <f t="shared" si="8"/>
        <v>0</v>
      </c>
    </row>
    <row r="39" spans="1:10" s="41" customFormat="1" ht="36.75">
      <c r="A39" s="435" t="s">
        <v>83</v>
      </c>
      <c r="B39" s="129" t="s">
        <v>84</v>
      </c>
      <c r="C39" s="10">
        <v>5</v>
      </c>
      <c r="D39" s="31">
        <v>0</v>
      </c>
      <c r="E39" s="10">
        <v>1</v>
      </c>
      <c r="F39" s="48">
        <f t="shared" si="5"/>
        <v>0</v>
      </c>
      <c r="G39" s="31"/>
      <c r="H39" s="31">
        <f t="shared" si="6"/>
        <v>0</v>
      </c>
      <c r="I39" s="31">
        <f t="shared" si="7"/>
        <v>0</v>
      </c>
      <c r="J39" s="32">
        <f t="shared" si="8"/>
        <v>0</v>
      </c>
    </row>
    <row r="40" spans="1:10" s="41" customFormat="1" ht="24.75">
      <c r="A40" s="437"/>
      <c r="B40" s="129" t="s">
        <v>85</v>
      </c>
      <c r="C40" s="10">
        <v>410</v>
      </c>
      <c r="D40" s="31">
        <v>0</v>
      </c>
      <c r="E40" s="10">
        <v>1</v>
      </c>
      <c r="F40" s="48">
        <f t="shared" si="5"/>
        <v>0</v>
      </c>
      <c r="G40" s="31"/>
      <c r="H40" s="31">
        <f t="shared" si="6"/>
        <v>0</v>
      </c>
      <c r="I40" s="31">
        <f t="shared" si="7"/>
        <v>0</v>
      </c>
      <c r="J40" s="32">
        <f t="shared" si="8"/>
        <v>0</v>
      </c>
    </row>
    <row r="41" spans="1:10" s="41" customFormat="1" ht="49.5">
      <c r="A41" s="437"/>
      <c r="B41" s="274" t="s">
        <v>363</v>
      </c>
      <c r="C41" s="10">
        <v>410</v>
      </c>
      <c r="D41" s="31">
        <v>0</v>
      </c>
      <c r="E41" s="10">
        <v>1</v>
      </c>
      <c r="F41" s="48">
        <f t="shared" si="5"/>
        <v>0</v>
      </c>
      <c r="G41" s="31"/>
      <c r="H41" s="31">
        <f>F41*15%</f>
        <v>0</v>
      </c>
      <c r="I41" s="31">
        <f>(F41*16%)+(H41*16%)</f>
        <v>0</v>
      </c>
      <c r="J41" s="32">
        <f t="shared" si="8"/>
        <v>0</v>
      </c>
    </row>
    <row r="42" spans="1:10" s="41" customFormat="1" ht="49.5">
      <c r="A42" s="437"/>
      <c r="B42" s="130" t="s">
        <v>224</v>
      </c>
      <c r="C42" s="43">
        <v>410</v>
      </c>
      <c r="D42" s="63">
        <v>280</v>
      </c>
      <c r="E42" s="43">
        <v>0</v>
      </c>
      <c r="F42" s="54">
        <f t="shared" si="5"/>
        <v>0</v>
      </c>
      <c r="G42" s="63"/>
      <c r="H42" s="63">
        <f>F42*15%</f>
        <v>0</v>
      </c>
      <c r="I42" s="63">
        <f>(F42*16%)+(H42*16%)</f>
        <v>0</v>
      </c>
      <c r="J42" s="64">
        <f t="shared" si="8"/>
        <v>0</v>
      </c>
    </row>
    <row r="43" spans="1:10" s="41" customFormat="1" ht="53.45">
      <c r="A43" s="437"/>
      <c r="B43" s="42" t="s">
        <v>220</v>
      </c>
      <c r="C43" s="43">
        <v>410</v>
      </c>
      <c r="D43" s="63">
        <v>0</v>
      </c>
      <c r="E43" s="43">
        <v>1</v>
      </c>
      <c r="F43" s="44">
        <f t="shared" si="5"/>
        <v>0</v>
      </c>
      <c r="G43" s="63"/>
      <c r="H43" s="63">
        <f t="shared" ref="H43:H45" si="9">F43*15%</f>
        <v>0</v>
      </c>
      <c r="I43" s="63">
        <f t="shared" ref="I43:I45" si="10">(F43*16%)+(H43*16%)</f>
        <v>0</v>
      </c>
      <c r="J43" s="64">
        <f t="shared" si="8"/>
        <v>0</v>
      </c>
    </row>
    <row r="44" spans="1:10" s="41" customFormat="1" ht="147.75">
      <c r="A44" s="437"/>
      <c r="B44" s="131" t="s">
        <v>364</v>
      </c>
      <c r="C44" s="43">
        <v>410</v>
      </c>
      <c r="D44" s="63">
        <v>0</v>
      </c>
      <c r="E44" s="43">
        <v>0</v>
      </c>
      <c r="F44" s="44">
        <f t="shared" ref="F44:F45" si="11">SUM(C44*D44*E44)</f>
        <v>0</v>
      </c>
      <c r="G44" s="63"/>
      <c r="H44" s="63">
        <f t="shared" si="9"/>
        <v>0</v>
      </c>
      <c r="I44" s="63">
        <f t="shared" si="10"/>
        <v>0</v>
      </c>
      <c r="J44" s="64">
        <f t="shared" ref="J44:J45" si="12">I44+H44+G44+F44</f>
        <v>0</v>
      </c>
    </row>
    <row r="45" spans="1:10" s="41" customFormat="1" ht="79.900000000000006" thickBot="1">
      <c r="A45" s="437"/>
      <c r="B45" s="42" t="s">
        <v>100</v>
      </c>
      <c r="C45" s="43">
        <v>410</v>
      </c>
      <c r="D45" s="63">
        <v>300</v>
      </c>
      <c r="E45" s="43">
        <v>0</v>
      </c>
      <c r="F45" s="44">
        <f t="shared" si="11"/>
        <v>0</v>
      </c>
      <c r="G45" s="63"/>
      <c r="H45" s="63">
        <f t="shared" si="9"/>
        <v>0</v>
      </c>
      <c r="I45" s="63">
        <f t="shared" si="10"/>
        <v>0</v>
      </c>
      <c r="J45" s="64">
        <f t="shared" si="12"/>
        <v>0</v>
      </c>
    </row>
    <row r="46" spans="1:10" s="41" customFormat="1" ht="15">
      <c r="A46" s="434" t="s">
        <v>92</v>
      </c>
      <c r="B46" s="128" t="s">
        <v>93</v>
      </c>
      <c r="C46" s="72">
        <v>410</v>
      </c>
      <c r="D46" s="71">
        <v>0</v>
      </c>
      <c r="E46" s="72">
        <v>1</v>
      </c>
      <c r="F46" s="74">
        <f>SUM(C46*D46*E46)</f>
        <v>0</v>
      </c>
      <c r="G46" s="71"/>
      <c r="H46" s="71">
        <f>F46*15%</f>
        <v>0</v>
      </c>
      <c r="I46" s="71">
        <f>(F46*16%)+(H46*16%)</f>
        <v>0</v>
      </c>
      <c r="J46" s="73">
        <f>I46+H46+G46+F46</f>
        <v>0</v>
      </c>
    </row>
    <row r="47" spans="1:10" s="41" customFormat="1" ht="60" customHeight="1">
      <c r="A47" s="437"/>
      <c r="B47" s="274" t="s">
        <v>365</v>
      </c>
      <c r="C47" s="10">
        <v>410</v>
      </c>
      <c r="D47" s="31">
        <v>0</v>
      </c>
      <c r="E47" s="10">
        <v>1</v>
      </c>
      <c r="F47" s="48">
        <f t="shared" ref="F47:F51" si="13">SUM(C47*D47*E47)</f>
        <v>0</v>
      </c>
      <c r="G47" s="31"/>
      <c r="H47" s="31">
        <f>F47*15%</f>
        <v>0</v>
      </c>
      <c r="I47" s="31">
        <f>(F47*16%)+(H47*16%)</f>
        <v>0</v>
      </c>
      <c r="J47" s="32">
        <f t="shared" ref="J47:J51" si="14">I47+H47+G47+F47</f>
        <v>0</v>
      </c>
    </row>
    <row r="48" spans="1:10" s="41" customFormat="1" ht="49.5">
      <c r="A48" s="437"/>
      <c r="B48" s="130" t="s">
        <v>224</v>
      </c>
      <c r="C48" s="43">
        <v>410</v>
      </c>
      <c r="D48" s="63">
        <v>280</v>
      </c>
      <c r="E48" s="43">
        <v>0</v>
      </c>
      <c r="F48" s="48"/>
      <c r="G48" s="31"/>
      <c r="H48" s="31"/>
      <c r="I48" s="31"/>
      <c r="J48" s="32"/>
    </row>
    <row r="49" spans="1:10" s="41" customFormat="1" ht="24.75">
      <c r="A49" s="437"/>
      <c r="B49" s="129" t="s">
        <v>95</v>
      </c>
      <c r="C49" s="10">
        <v>410</v>
      </c>
      <c r="D49" s="31">
        <v>0</v>
      </c>
      <c r="E49" s="10">
        <v>1</v>
      </c>
      <c r="F49" s="48">
        <f t="shared" ref="F49" si="15">SUM(C49*D49*E49)</f>
        <v>0</v>
      </c>
      <c r="G49" s="31"/>
      <c r="H49" s="31">
        <f t="shared" ref="H49" si="16">F49*15%</f>
        <v>0</v>
      </c>
      <c r="I49" s="31">
        <f t="shared" ref="I49" si="17">(F49*16%)+(H49*16%)</f>
        <v>0</v>
      </c>
      <c r="J49" s="32">
        <f t="shared" ref="J49" si="18">I49+H49+G49+F49</f>
        <v>0</v>
      </c>
    </row>
    <row r="50" spans="1:10" s="41" customFormat="1" ht="49.5">
      <c r="A50" s="437"/>
      <c r="B50" s="130" t="s">
        <v>219</v>
      </c>
      <c r="C50" s="43">
        <v>410</v>
      </c>
      <c r="D50" s="63">
        <v>250</v>
      </c>
      <c r="E50" s="43">
        <v>0</v>
      </c>
      <c r="F50" s="48"/>
      <c r="G50" s="31"/>
      <c r="H50" s="31"/>
      <c r="I50" s="31"/>
      <c r="J50" s="32"/>
    </row>
    <row r="51" spans="1:10" s="41" customFormat="1" ht="49.9" customHeight="1" thickBot="1">
      <c r="A51" s="437"/>
      <c r="B51" s="42" t="s">
        <v>366</v>
      </c>
      <c r="C51" s="43">
        <v>410</v>
      </c>
      <c r="D51" s="63">
        <v>0</v>
      </c>
      <c r="E51" s="43">
        <v>1</v>
      </c>
      <c r="F51" s="11">
        <f t="shared" si="13"/>
        <v>0</v>
      </c>
      <c r="G51" s="31"/>
      <c r="H51" s="31">
        <f t="shared" ref="H51" si="19">F51*15%</f>
        <v>0</v>
      </c>
      <c r="I51" s="31">
        <f t="shared" ref="I51" si="20">(F51*16%)+(H51*16%)</f>
        <v>0</v>
      </c>
      <c r="J51" s="32">
        <f t="shared" si="14"/>
        <v>0</v>
      </c>
    </row>
    <row r="52" spans="1:10" s="41" customFormat="1" ht="15">
      <c r="A52" s="427" t="s">
        <v>98</v>
      </c>
      <c r="B52" s="128" t="s">
        <v>93</v>
      </c>
      <c r="C52" s="72">
        <v>410</v>
      </c>
      <c r="D52" s="71">
        <v>0</v>
      </c>
      <c r="E52" s="72"/>
      <c r="F52" s="74">
        <f>SUM(C52*D52*E52)</f>
        <v>0</v>
      </c>
      <c r="G52" s="71"/>
      <c r="H52" s="71">
        <f>F52*15%</f>
        <v>0</v>
      </c>
      <c r="I52" s="71">
        <f>(F52*16%)+(H52*16%)</f>
        <v>0</v>
      </c>
      <c r="J52" s="73">
        <f>I52+H52+G52+F52</f>
        <v>0</v>
      </c>
    </row>
    <row r="53" spans="1:10" s="41" customFormat="1" ht="49.5">
      <c r="A53" s="428"/>
      <c r="B53" s="274" t="s">
        <v>363</v>
      </c>
      <c r="C53" s="10">
        <v>410</v>
      </c>
      <c r="D53" s="31">
        <v>0</v>
      </c>
      <c r="E53" s="10">
        <v>1</v>
      </c>
      <c r="F53" s="11">
        <f t="shared" ref="F53:F57" si="21">SUM(C53*D53*E53)</f>
        <v>0</v>
      </c>
      <c r="G53" s="31"/>
      <c r="H53" s="31">
        <f t="shared" ref="H53:H57" si="22">F53*15%</f>
        <v>0</v>
      </c>
      <c r="I53" s="31">
        <f t="shared" ref="I53:I57" si="23">(F53*16%)+(H53*16%)</f>
        <v>0</v>
      </c>
      <c r="J53" s="32">
        <f t="shared" ref="J53:J57" si="24">I53+H53+G53+F53</f>
        <v>0</v>
      </c>
    </row>
    <row r="54" spans="1:10" s="41" customFormat="1" ht="49.5">
      <c r="A54" s="428"/>
      <c r="B54" s="130" t="s">
        <v>224</v>
      </c>
      <c r="C54" s="43">
        <v>410</v>
      </c>
      <c r="D54" s="63">
        <v>250</v>
      </c>
      <c r="E54" s="43">
        <v>0</v>
      </c>
      <c r="F54" s="11">
        <f t="shared" si="21"/>
        <v>0</v>
      </c>
      <c r="G54" s="31"/>
      <c r="H54" s="31">
        <f t="shared" si="22"/>
        <v>0</v>
      </c>
      <c r="I54" s="31">
        <f t="shared" si="23"/>
        <v>0</v>
      </c>
      <c r="J54" s="32">
        <f t="shared" si="24"/>
        <v>0</v>
      </c>
    </row>
    <row r="55" spans="1:10" s="41" customFormat="1" ht="24.75">
      <c r="A55" s="428"/>
      <c r="B55" s="129" t="s">
        <v>367</v>
      </c>
      <c r="C55" s="10">
        <v>410</v>
      </c>
      <c r="D55" s="31">
        <v>0</v>
      </c>
      <c r="E55" s="10">
        <v>1</v>
      </c>
      <c r="F55" s="11">
        <f t="shared" si="21"/>
        <v>0</v>
      </c>
      <c r="G55" s="31"/>
      <c r="H55" s="31">
        <f t="shared" si="22"/>
        <v>0</v>
      </c>
      <c r="I55" s="31">
        <f t="shared" si="23"/>
        <v>0</v>
      </c>
      <c r="J55" s="32">
        <f t="shared" si="24"/>
        <v>0</v>
      </c>
    </row>
    <row r="56" spans="1:10" s="41" customFormat="1" ht="159" customHeight="1">
      <c r="A56" s="428"/>
      <c r="B56" s="131" t="s">
        <v>364</v>
      </c>
      <c r="C56" s="10">
        <v>410</v>
      </c>
      <c r="D56" s="31">
        <v>0</v>
      </c>
      <c r="E56" s="10">
        <v>0</v>
      </c>
      <c r="F56" s="11">
        <f t="shared" si="21"/>
        <v>0</v>
      </c>
      <c r="G56" s="31"/>
      <c r="H56" s="31">
        <f t="shared" si="22"/>
        <v>0</v>
      </c>
      <c r="I56" s="31">
        <f t="shared" si="23"/>
        <v>0</v>
      </c>
      <c r="J56" s="32">
        <f t="shared" si="24"/>
        <v>0</v>
      </c>
    </row>
    <row r="57" spans="1:10" s="41" customFormat="1" ht="79.900000000000006" thickBot="1">
      <c r="A57" s="428"/>
      <c r="B57" s="42" t="s">
        <v>100</v>
      </c>
      <c r="C57" s="43">
        <v>410</v>
      </c>
      <c r="D57" s="63">
        <v>300</v>
      </c>
      <c r="E57" s="43">
        <v>0</v>
      </c>
      <c r="F57" s="44">
        <f t="shared" si="21"/>
        <v>0</v>
      </c>
      <c r="G57" s="63"/>
      <c r="H57" s="63">
        <f t="shared" si="22"/>
        <v>0</v>
      </c>
      <c r="I57" s="63">
        <f t="shared" si="23"/>
        <v>0</v>
      </c>
      <c r="J57" s="64">
        <f t="shared" si="24"/>
        <v>0</v>
      </c>
    </row>
    <row r="58" spans="1:10" s="41" customFormat="1" ht="15" thickBot="1">
      <c r="A58" s="93" t="s">
        <v>101</v>
      </c>
      <c r="B58" s="127" t="s">
        <v>93</v>
      </c>
      <c r="C58" s="94">
        <v>410</v>
      </c>
      <c r="D58" s="96">
        <v>0</v>
      </c>
      <c r="E58" s="94">
        <v>1</v>
      </c>
      <c r="F58" s="95">
        <f>SUM(C58*D58*E58)</f>
        <v>0</v>
      </c>
      <c r="G58" s="96"/>
      <c r="H58" s="96">
        <f>F58*15%</f>
        <v>0</v>
      </c>
      <c r="I58" s="96">
        <f>(F58*16%)+(H58*16%)</f>
        <v>0</v>
      </c>
      <c r="J58" s="97">
        <f>I58+H58+G58+F58</f>
        <v>0</v>
      </c>
    </row>
    <row r="59" spans="1:10" ht="15" thickBot="1">
      <c r="A59" s="18"/>
      <c r="B59" s="19" t="s">
        <v>78</v>
      </c>
      <c r="C59" s="20"/>
      <c r="D59" s="21"/>
      <c r="E59" s="20"/>
      <c r="F59" s="22">
        <f>SUM(F37:F58)</f>
        <v>0</v>
      </c>
      <c r="G59" s="22">
        <f>SUM(G37:G58)</f>
        <v>0</v>
      </c>
      <c r="H59" s="22">
        <f>SUM(H37:H58)</f>
        <v>0</v>
      </c>
      <c r="I59" s="22">
        <f>SUM(I37:I58)</f>
        <v>0</v>
      </c>
      <c r="J59" s="22">
        <f>SUM(J37:J58)</f>
        <v>0</v>
      </c>
    </row>
    <row r="60" spans="1:10" ht="15" thickBot="1">
      <c r="A60" s="23"/>
      <c r="B60" s="28" t="s">
        <v>102</v>
      </c>
      <c r="C60" s="82"/>
      <c r="D60" s="83"/>
      <c r="E60" s="82"/>
      <c r="F60" s="83">
        <f>F59</f>
        <v>0</v>
      </c>
      <c r="G60" s="83">
        <f t="shared" ref="G60:J60" si="25">G59</f>
        <v>0</v>
      </c>
      <c r="H60" s="83">
        <f t="shared" si="25"/>
        <v>0</v>
      </c>
      <c r="I60" s="83">
        <f t="shared" si="25"/>
        <v>0</v>
      </c>
      <c r="J60" s="83">
        <f t="shared" si="25"/>
        <v>0</v>
      </c>
    </row>
    <row r="61" spans="1:10">
      <c r="A61" s="18"/>
      <c r="B61" s="29"/>
      <c r="C61" s="20"/>
      <c r="D61" s="21"/>
      <c r="E61" s="20"/>
      <c r="F61" s="30"/>
      <c r="G61" s="30"/>
      <c r="H61" s="30"/>
      <c r="I61" s="30"/>
      <c r="J61" s="30"/>
    </row>
    <row r="62" spans="1:10" ht="15" thickBot="1">
      <c r="A62" s="18"/>
      <c r="B62" s="29"/>
      <c r="C62" s="20"/>
      <c r="D62" s="21"/>
      <c r="E62" s="20"/>
      <c r="F62" s="30"/>
      <c r="G62" s="30"/>
      <c r="H62" s="30"/>
      <c r="I62" s="30"/>
      <c r="J62" s="30"/>
    </row>
    <row r="63" spans="1:10" ht="15" thickBot="1">
      <c r="A63" s="431" t="s">
        <v>103</v>
      </c>
      <c r="B63" s="432"/>
      <c r="C63" s="7"/>
      <c r="D63" s="7"/>
      <c r="E63" s="7"/>
      <c r="F63" s="7"/>
      <c r="G63" s="7"/>
      <c r="H63" s="7"/>
      <c r="I63" s="7"/>
      <c r="J63" s="7"/>
    </row>
    <row r="64" spans="1:10" ht="15" thickBot="1">
      <c r="A64" s="84" t="s">
        <v>62</v>
      </c>
      <c r="B64" s="79" t="s">
        <v>13</v>
      </c>
      <c r="C64" s="80" t="s">
        <v>63</v>
      </c>
      <c r="D64" s="80" t="s">
        <v>64</v>
      </c>
      <c r="E64" s="80" t="s">
        <v>65</v>
      </c>
      <c r="F64" s="80" t="s">
        <v>66</v>
      </c>
      <c r="G64" s="80" t="s">
        <v>27</v>
      </c>
      <c r="H64" s="80" t="s">
        <v>68</v>
      </c>
      <c r="I64" s="80" t="s">
        <v>69</v>
      </c>
      <c r="J64" s="8" t="s">
        <v>70</v>
      </c>
    </row>
    <row r="65" spans="1:10" ht="15">
      <c r="A65" s="427"/>
      <c r="B65" s="70" t="s">
        <v>344</v>
      </c>
      <c r="C65" s="72">
        <v>6</v>
      </c>
      <c r="D65" s="71">
        <v>2700</v>
      </c>
      <c r="E65" s="72">
        <v>1</v>
      </c>
      <c r="F65" s="71">
        <v>16200</v>
      </c>
      <c r="G65" s="71"/>
      <c r="H65" s="71">
        <v>972</v>
      </c>
      <c r="I65" s="71">
        <v>2592</v>
      </c>
      <c r="J65" s="73">
        <v>19764</v>
      </c>
    </row>
    <row r="66" spans="1:10" ht="24.75">
      <c r="A66" s="428"/>
      <c r="B66" s="9" t="s">
        <v>345</v>
      </c>
      <c r="C66" s="10">
        <v>13</v>
      </c>
      <c r="D66" s="31">
        <v>3800</v>
      </c>
      <c r="E66" s="10">
        <v>1</v>
      </c>
      <c r="F66" s="31">
        <v>49400</v>
      </c>
      <c r="G66" s="31"/>
      <c r="H66" s="31">
        <v>2964</v>
      </c>
      <c r="I66" s="31">
        <v>7904</v>
      </c>
      <c r="J66" s="32">
        <v>60268</v>
      </c>
    </row>
    <row r="67" spans="1:10" ht="15">
      <c r="A67" s="428"/>
      <c r="B67" s="9" t="s">
        <v>346</v>
      </c>
      <c r="C67" s="10">
        <v>3</v>
      </c>
      <c r="D67" s="31">
        <v>9800</v>
      </c>
      <c r="E67" s="10">
        <v>1</v>
      </c>
      <c r="F67" s="31">
        <v>29400</v>
      </c>
      <c r="G67" s="31"/>
      <c r="H67" s="31">
        <v>1764</v>
      </c>
      <c r="I67" s="31">
        <v>4704</v>
      </c>
      <c r="J67" s="32">
        <v>35868</v>
      </c>
    </row>
    <row r="68" spans="1:10" ht="15">
      <c r="A68" s="428"/>
      <c r="B68" s="9" t="s">
        <v>347</v>
      </c>
      <c r="C68" s="10">
        <v>8</v>
      </c>
      <c r="D68" s="31">
        <v>2700</v>
      </c>
      <c r="E68" s="10">
        <v>1</v>
      </c>
      <c r="F68" s="31">
        <v>21600</v>
      </c>
      <c r="G68" s="31"/>
      <c r="H68" s="31">
        <v>1296</v>
      </c>
      <c r="I68" s="31">
        <v>3456</v>
      </c>
      <c r="J68" s="32">
        <v>26352</v>
      </c>
    </row>
    <row r="69" spans="1:10" ht="15">
      <c r="A69" s="428"/>
      <c r="B69" s="42" t="s">
        <v>348</v>
      </c>
      <c r="C69" s="10">
        <v>7</v>
      </c>
      <c r="D69" s="63">
        <v>3800</v>
      </c>
      <c r="E69" s="10">
        <v>1</v>
      </c>
      <c r="F69" s="31">
        <v>26600</v>
      </c>
      <c r="G69" s="31"/>
      <c r="H69" s="31">
        <v>1596</v>
      </c>
      <c r="I69" s="31">
        <v>4256</v>
      </c>
      <c r="J69" s="32">
        <v>32452</v>
      </c>
    </row>
    <row r="70" spans="1:10" ht="15">
      <c r="A70" s="428"/>
      <c r="B70" s="42" t="s">
        <v>349</v>
      </c>
      <c r="C70" s="10">
        <v>6</v>
      </c>
      <c r="D70" s="63">
        <v>9800</v>
      </c>
      <c r="E70" s="10">
        <v>1</v>
      </c>
      <c r="F70" s="31">
        <v>58800</v>
      </c>
      <c r="G70" s="31"/>
      <c r="H70" s="31">
        <v>3528</v>
      </c>
      <c r="I70" s="31">
        <v>9408</v>
      </c>
      <c r="J70" s="32">
        <v>71736</v>
      </c>
    </row>
    <row r="71" spans="1:10" ht="15" thickBot="1">
      <c r="A71" s="429"/>
      <c r="B71" s="14"/>
      <c r="C71" s="15"/>
      <c r="D71" s="33">
        <v>0</v>
      </c>
      <c r="E71" s="15"/>
      <c r="F71" s="33">
        <f t="shared" ref="F66:F73" si="26">D71*C71*E71</f>
        <v>0</v>
      </c>
      <c r="G71" s="33"/>
      <c r="H71" s="33"/>
      <c r="I71" s="33">
        <f t="shared" ref="I65:I73" si="27">F71*16%</f>
        <v>0</v>
      </c>
      <c r="J71" s="34">
        <f t="shared" ref="J65:J73" si="28">I71+H71+G71+F71</f>
        <v>0</v>
      </c>
    </row>
    <row r="72" spans="1:10">
      <c r="A72" s="427"/>
      <c r="B72" s="77"/>
      <c r="C72" s="72"/>
      <c r="D72" s="71">
        <v>0</v>
      </c>
      <c r="E72" s="72"/>
      <c r="F72" s="71">
        <f t="shared" si="26"/>
        <v>0</v>
      </c>
      <c r="G72" s="71"/>
      <c r="H72" s="71"/>
      <c r="I72" s="71">
        <f t="shared" si="27"/>
        <v>0</v>
      </c>
      <c r="J72" s="73">
        <f t="shared" si="28"/>
        <v>0</v>
      </c>
    </row>
    <row r="73" spans="1:10" ht="15" thickBot="1">
      <c r="A73" s="429"/>
      <c r="B73" s="76"/>
      <c r="C73" s="57"/>
      <c r="D73" s="58">
        <v>0</v>
      </c>
      <c r="E73" s="57"/>
      <c r="F73" s="58">
        <f t="shared" si="26"/>
        <v>0</v>
      </c>
      <c r="G73" s="58"/>
      <c r="H73" s="58"/>
      <c r="I73" s="58">
        <f t="shared" si="27"/>
        <v>0</v>
      </c>
      <c r="J73" s="60">
        <f t="shared" si="28"/>
        <v>0</v>
      </c>
    </row>
    <row r="74" spans="1:10" ht="15" thickBot="1">
      <c r="A74" s="18"/>
      <c r="B74" s="19" t="s">
        <v>78</v>
      </c>
      <c r="C74" s="20"/>
      <c r="D74" s="21"/>
      <c r="E74" s="20"/>
      <c r="F74" s="27">
        <f>SUM(F65:F73)</f>
        <v>202000</v>
      </c>
      <c r="G74" s="27">
        <f t="shared" ref="G74:J74" si="29">SUM(G65:G73)</f>
        <v>0</v>
      </c>
      <c r="H74" s="27">
        <f t="shared" si="29"/>
        <v>12120</v>
      </c>
      <c r="I74" s="27">
        <f t="shared" si="29"/>
        <v>32320</v>
      </c>
      <c r="J74" s="27">
        <f t="shared" si="29"/>
        <v>246440</v>
      </c>
    </row>
    <row r="75" spans="1:10" ht="15" thickBot="1">
      <c r="A75" s="23"/>
      <c r="B75" s="28" t="s">
        <v>113</v>
      </c>
      <c r="C75" s="82"/>
      <c r="D75" s="83"/>
      <c r="E75" s="82"/>
      <c r="F75" s="83">
        <f>F74</f>
        <v>202000</v>
      </c>
      <c r="G75" s="83">
        <f t="shared" ref="G75:J75" si="30">G74</f>
        <v>0</v>
      </c>
      <c r="H75" s="83">
        <f t="shared" si="30"/>
        <v>12120</v>
      </c>
      <c r="I75" s="83">
        <f t="shared" si="30"/>
        <v>32320</v>
      </c>
      <c r="J75" s="37">
        <f t="shared" si="30"/>
        <v>246440</v>
      </c>
    </row>
    <row r="76" spans="1:10" ht="15" thickBot="1">
      <c r="A76" s="23"/>
      <c r="B76" s="29"/>
      <c r="C76" s="20"/>
      <c r="D76" s="30"/>
      <c r="E76" s="20"/>
      <c r="F76" s="30"/>
      <c r="G76" s="30"/>
      <c r="H76" s="30"/>
      <c r="I76" s="30"/>
      <c r="J76" s="30"/>
    </row>
    <row r="77" spans="1:10" ht="15" thickBot="1">
      <c r="A77" s="431" t="s">
        <v>114</v>
      </c>
      <c r="B77" s="432"/>
      <c r="C77" s="7"/>
      <c r="D77" s="7"/>
      <c r="E77" s="7"/>
      <c r="F77" s="7"/>
      <c r="G77" s="7"/>
      <c r="H77" s="7"/>
      <c r="I77" s="7"/>
      <c r="J77" s="7"/>
    </row>
    <row r="78" spans="1:10" ht="15" thickBot="1">
      <c r="A78" s="66" t="s">
        <v>62</v>
      </c>
      <c r="B78" s="67" t="s">
        <v>13</v>
      </c>
      <c r="C78" s="68" t="s">
        <v>63</v>
      </c>
      <c r="D78" s="68" t="s">
        <v>64</v>
      </c>
      <c r="E78" s="68" t="s">
        <v>65</v>
      </c>
      <c r="F78" s="68" t="s">
        <v>66</v>
      </c>
      <c r="G78" s="68" t="s">
        <v>27</v>
      </c>
      <c r="H78" s="68" t="s">
        <v>68</v>
      </c>
      <c r="I78" s="68" t="s">
        <v>69</v>
      </c>
      <c r="J78" s="69" t="s">
        <v>70</v>
      </c>
    </row>
    <row r="79" spans="1:10" s="41" customFormat="1" ht="15">
      <c r="A79" s="50"/>
      <c r="B79" s="42"/>
      <c r="C79" s="43"/>
      <c r="D79" s="63"/>
      <c r="E79" s="43"/>
      <c r="F79" s="63"/>
      <c r="G79" s="63"/>
      <c r="H79" s="63"/>
      <c r="I79" s="63"/>
      <c r="J79" s="64"/>
    </row>
    <row r="80" spans="1:10" s="41" customFormat="1">
      <c r="A80" s="50"/>
      <c r="B80" s="42"/>
      <c r="C80" s="43"/>
      <c r="D80" s="63"/>
      <c r="E80" s="43"/>
      <c r="F80" s="63"/>
      <c r="G80" s="63"/>
      <c r="H80" s="63"/>
      <c r="I80" s="63"/>
      <c r="J80" s="64"/>
    </row>
    <row r="81" spans="1:14" s="41" customFormat="1" ht="15" thickBot="1">
      <c r="A81" s="13"/>
      <c r="B81" s="14"/>
      <c r="C81" s="15"/>
      <c r="D81" s="33"/>
      <c r="E81" s="15"/>
      <c r="F81" s="33">
        <f t="shared" ref="F81" si="31">E81+D81+C81</f>
        <v>0</v>
      </c>
      <c r="G81" s="33"/>
      <c r="H81" s="33"/>
      <c r="I81" s="33">
        <f t="shared" ref="I81" si="32">F81*16%</f>
        <v>0</v>
      </c>
      <c r="J81" s="34">
        <f t="shared" ref="J81" si="33">I81+H81+G81+F81</f>
        <v>0</v>
      </c>
    </row>
    <row r="82" spans="1:14" ht="15" thickBot="1">
      <c r="A82" s="18"/>
      <c r="B82" s="19" t="s">
        <v>78</v>
      </c>
      <c r="C82" s="20"/>
      <c r="D82" s="21"/>
      <c r="E82" s="20"/>
      <c r="F82" s="22">
        <f>SUM(F79:F81)</f>
        <v>0</v>
      </c>
      <c r="G82" s="22">
        <f>SUM(G79:G81)</f>
        <v>0</v>
      </c>
      <c r="H82" s="22">
        <f>SUM(H79:H81)</f>
        <v>0</v>
      </c>
      <c r="I82" s="22">
        <f>SUM(I79:I81)</f>
        <v>0</v>
      </c>
      <c r="J82" s="22">
        <f>SUM(J79:J81)</f>
        <v>0</v>
      </c>
    </row>
    <row r="83" spans="1:14" ht="15" thickBot="1">
      <c r="A83" s="23"/>
      <c r="B83" s="28" t="s">
        <v>323</v>
      </c>
      <c r="C83" s="82"/>
      <c r="D83" s="83"/>
      <c r="E83" s="82"/>
      <c r="F83" s="83">
        <f>SUM(F82)</f>
        <v>0</v>
      </c>
      <c r="G83" s="83">
        <f t="shared" ref="G83:J83" si="34">SUM(G82)</f>
        <v>0</v>
      </c>
      <c r="H83" s="83">
        <f t="shared" si="34"/>
        <v>0</v>
      </c>
      <c r="I83" s="83">
        <f t="shared" si="34"/>
        <v>0</v>
      </c>
      <c r="J83" s="83">
        <f t="shared" si="34"/>
        <v>0</v>
      </c>
    </row>
    <row r="84" spans="1:14" ht="15" thickBot="1">
      <c r="A84" s="23"/>
      <c r="B84" s="29"/>
      <c r="C84" s="20"/>
      <c r="D84" s="30"/>
      <c r="E84" s="20"/>
      <c r="F84" s="30"/>
      <c r="G84" s="30"/>
      <c r="H84" s="30"/>
      <c r="I84" s="30"/>
      <c r="J84" s="30"/>
      <c r="N84" t="s">
        <v>116</v>
      </c>
    </row>
    <row r="85" spans="1:14" ht="15" thickBot="1">
      <c r="A85" s="431" t="s">
        <v>117</v>
      </c>
      <c r="B85" s="432"/>
      <c r="C85" s="7"/>
      <c r="D85" s="7"/>
      <c r="E85" s="7"/>
      <c r="F85" s="7"/>
      <c r="G85" s="7"/>
      <c r="H85" s="7"/>
      <c r="I85" s="7"/>
      <c r="J85" s="7"/>
    </row>
    <row r="86" spans="1:14" ht="15" thickBot="1">
      <c r="A86" s="78" t="s">
        <v>62</v>
      </c>
      <c r="B86" s="79" t="s">
        <v>13</v>
      </c>
      <c r="C86" s="80" t="s">
        <v>63</v>
      </c>
      <c r="D86" s="80" t="s">
        <v>64</v>
      </c>
      <c r="E86" s="80" t="s">
        <v>65</v>
      </c>
      <c r="F86" s="80" t="s">
        <v>66</v>
      </c>
      <c r="G86" s="80" t="s">
        <v>27</v>
      </c>
      <c r="H86" s="80" t="s">
        <v>68</v>
      </c>
      <c r="I86" s="80" t="s">
        <v>69</v>
      </c>
      <c r="J86" s="8" t="s">
        <v>70</v>
      </c>
      <c r="N86" t="s">
        <v>116</v>
      </c>
    </row>
    <row r="87" spans="1:14" s="41" customFormat="1" ht="27">
      <c r="A87" s="427" t="s">
        <v>74</v>
      </c>
      <c r="B87" s="70" t="s">
        <v>118</v>
      </c>
      <c r="C87" s="72">
        <v>410</v>
      </c>
      <c r="D87" s="74">
        <v>130</v>
      </c>
      <c r="E87" s="72">
        <v>0</v>
      </c>
      <c r="F87" s="71">
        <f t="shared" ref="F87:F92" si="35">SUM(C87*D87*E87)</f>
        <v>0</v>
      </c>
      <c r="G87" s="71"/>
      <c r="H87" s="71"/>
      <c r="I87" s="71">
        <f>F87*16%</f>
        <v>0</v>
      </c>
      <c r="J87" s="73">
        <f>I87+H87+G87+F87</f>
        <v>0</v>
      </c>
    </row>
    <row r="88" spans="1:14" s="41" customFormat="1" ht="49.5">
      <c r="A88" s="428"/>
      <c r="B88" s="132" t="s">
        <v>368</v>
      </c>
      <c r="C88" s="10">
        <v>1</v>
      </c>
      <c r="D88" s="31">
        <f>1500*20</f>
        <v>30000</v>
      </c>
      <c r="E88" s="10">
        <v>0</v>
      </c>
      <c r="F88" s="31">
        <f>SUM(C88*D88*E88)</f>
        <v>0</v>
      </c>
      <c r="G88" s="31"/>
      <c r="H88" s="31"/>
      <c r="I88" s="31">
        <f>F88*16%</f>
        <v>0</v>
      </c>
      <c r="J88" s="32">
        <f>I88+H88+G88+F88</f>
        <v>0</v>
      </c>
    </row>
    <row r="89" spans="1:14" s="41" customFormat="1" ht="61.5">
      <c r="A89" s="428"/>
      <c r="B89" s="42" t="s">
        <v>123</v>
      </c>
      <c r="C89" s="43">
        <v>1</v>
      </c>
      <c r="D89" s="31">
        <v>30000</v>
      </c>
      <c r="E89" s="10">
        <v>0</v>
      </c>
      <c r="F89" s="31">
        <f>SUM(C89*D89*E89)</f>
        <v>0</v>
      </c>
      <c r="G89" s="31"/>
      <c r="H89" s="31"/>
      <c r="I89" s="31">
        <f>F89*16%</f>
        <v>0</v>
      </c>
      <c r="J89" s="32">
        <f>I89+H89+G89+F89</f>
        <v>0</v>
      </c>
    </row>
    <row r="90" spans="1:14" s="41" customFormat="1" ht="62.45" customHeight="1" thickBot="1">
      <c r="A90" s="93" t="s">
        <v>71</v>
      </c>
      <c r="B90" s="92" t="s">
        <v>231</v>
      </c>
      <c r="C90" s="94">
        <v>1</v>
      </c>
      <c r="D90" s="95">
        <v>0</v>
      </c>
      <c r="E90" s="94">
        <v>1</v>
      </c>
      <c r="F90" s="96">
        <f t="shared" si="35"/>
        <v>0</v>
      </c>
      <c r="G90" s="96"/>
      <c r="H90" s="96"/>
      <c r="I90" s="96">
        <f t="shared" ref="I90:I92" si="36">F90*16%</f>
        <v>0</v>
      </c>
      <c r="J90" s="97">
        <f t="shared" ref="J90:J92" si="37">I90+H90+G90+F90</f>
        <v>0</v>
      </c>
    </row>
    <row r="91" spans="1:14" s="41" customFormat="1" ht="24.75">
      <c r="A91" s="75" t="s">
        <v>125</v>
      </c>
      <c r="B91" s="126" t="s">
        <v>369</v>
      </c>
      <c r="C91" s="57">
        <v>1</v>
      </c>
      <c r="D91" s="59">
        <v>0</v>
      </c>
      <c r="E91" s="57">
        <v>1</v>
      </c>
      <c r="F91" s="58">
        <f t="shared" si="35"/>
        <v>0</v>
      </c>
      <c r="G91" s="58"/>
      <c r="H91" s="58"/>
      <c r="I91" s="58">
        <f t="shared" si="36"/>
        <v>0</v>
      </c>
      <c r="J91" s="60">
        <f t="shared" si="37"/>
        <v>0</v>
      </c>
    </row>
    <row r="92" spans="1:14" s="41" customFormat="1" ht="53.25" customHeight="1">
      <c r="A92" s="270" t="s">
        <v>127</v>
      </c>
      <c r="B92" s="128" t="s">
        <v>370</v>
      </c>
      <c r="C92" s="72">
        <v>7</v>
      </c>
      <c r="D92" s="74">
        <v>0</v>
      </c>
      <c r="E92" s="72">
        <v>3</v>
      </c>
      <c r="F92" s="71">
        <f t="shared" si="35"/>
        <v>0</v>
      </c>
      <c r="G92" s="71"/>
      <c r="H92" s="71"/>
      <c r="I92" s="71">
        <f t="shared" si="36"/>
        <v>0</v>
      </c>
      <c r="J92" s="73">
        <f t="shared" si="37"/>
        <v>0</v>
      </c>
    </row>
    <row r="93" spans="1:14" ht="15">
      <c r="A93" s="18"/>
      <c r="B93" s="19" t="s">
        <v>78</v>
      </c>
      <c r="C93" s="20"/>
      <c r="D93" s="21"/>
      <c r="E93" s="20"/>
      <c r="F93" s="38">
        <f>SUM(F87:F92)</f>
        <v>0</v>
      </c>
      <c r="G93" s="38">
        <f>SUM(G87:G92)</f>
        <v>0</v>
      </c>
      <c r="H93" s="38">
        <f>SUM(H87:H92)</f>
        <v>0</v>
      </c>
      <c r="I93" s="38">
        <f>SUM(I87:I92)</f>
        <v>0</v>
      </c>
      <c r="J93" s="38">
        <f>SUM(J87:J92)</f>
        <v>0</v>
      </c>
    </row>
    <row r="94" spans="1:14" ht="15" thickBot="1">
      <c r="A94" s="23"/>
      <c r="B94" s="28" t="s">
        <v>135</v>
      </c>
      <c r="C94" s="82"/>
      <c r="D94" s="83"/>
      <c r="E94" s="82"/>
      <c r="F94" s="83">
        <f>F93</f>
        <v>0</v>
      </c>
      <c r="G94" s="83">
        <f>G93</f>
        <v>0</v>
      </c>
      <c r="H94" s="83">
        <f>H93</f>
        <v>0</v>
      </c>
      <c r="I94" s="83">
        <f>I93</f>
        <v>0</v>
      </c>
      <c r="J94" s="37">
        <f>J93</f>
        <v>0</v>
      </c>
    </row>
    <row r="95" spans="1:14" ht="15" thickBot="1">
      <c r="A95" s="23"/>
      <c r="B95" s="29"/>
      <c r="C95" s="20"/>
      <c r="D95" s="30"/>
      <c r="E95" s="20"/>
      <c r="F95" s="30"/>
      <c r="G95" s="30"/>
      <c r="H95" s="30"/>
      <c r="I95" s="30"/>
      <c r="J95" s="30"/>
    </row>
    <row r="96" spans="1:14" ht="15" thickBot="1">
      <c r="A96" s="431" t="s">
        <v>136</v>
      </c>
      <c r="B96" s="432"/>
      <c r="C96" s="7"/>
      <c r="D96" s="7"/>
      <c r="E96" s="7"/>
      <c r="F96" s="7"/>
      <c r="G96" s="7"/>
      <c r="H96" s="7"/>
      <c r="I96" s="7"/>
      <c r="J96" s="7"/>
    </row>
    <row r="97" spans="1:10" ht="15" thickBot="1">
      <c r="A97" s="78" t="s">
        <v>62</v>
      </c>
      <c r="B97" s="79" t="s">
        <v>13</v>
      </c>
      <c r="C97" s="80" t="s">
        <v>63</v>
      </c>
      <c r="D97" s="80" t="s">
        <v>64</v>
      </c>
      <c r="E97" s="80" t="s">
        <v>65</v>
      </c>
      <c r="F97" s="80" t="s">
        <v>66</v>
      </c>
      <c r="G97" s="80" t="s">
        <v>27</v>
      </c>
      <c r="H97" s="80" t="s">
        <v>68</v>
      </c>
      <c r="I97" s="80" t="s">
        <v>69</v>
      </c>
      <c r="J97" s="8" t="s">
        <v>70</v>
      </c>
    </row>
    <row r="98" spans="1:10" s="41" customFormat="1" ht="24.75">
      <c r="A98" s="434" t="s">
        <v>371</v>
      </c>
      <c r="B98" s="70" t="s">
        <v>138</v>
      </c>
      <c r="C98" s="72">
        <v>4</v>
      </c>
      <c r="D98" s="74">
        <v>9478.2999999999993</v>
      </c>
      <c r="E98" s="72">
        <v>5</v>
      </c>
      <c r="F98" s="74">
        <f>SUM(C98*D98*E98)</f>
        <v>189566</v>
      </c>
      <c r="G98" s="74">
        <f>142.17*C98*E98</f>
        <v>2843.3999999999996</v>
      </c>
      <c r="H98" s="74">
        <f>185*C98*E98</f>
        <v>3700</v>
      </c>
      <c r="I98" s="74">
        <f>(F98+G98+H98)*16%</f>
        <v>31377.504000000001</v>
      </c>
      <c r="J98" s="81">
        <f>I98+H98+G98+F98</f>
        <v>227486.90400000001</v>
      </c>
    </row>
    <row r="99" spans="1:10" s="41" customFormat="1" ht="15">
      <c r="A99" s="435"/>
      <c r="B99" s="14" t="s">
        <v>73</v>
      </c>
      <c r="C99" s="43">
        <v>8</v>
      </c>
      <c r="D99" s="44">
        <v>34</v>
      </c>
      <c r="E99" s="43">
        <v>5</v>
      </c>
      <c r="F99" s="44"/>
      <c r="G99" s="44"/>
      <c r="H99" s="44">
        <f>E99*D99*C99</f>
        <v>1360</v>
      </c>
      <c r="I99" s="44">
        <v>0</v>
      </c>
      <c r="J99" s="45">
        <f t="shared" ref="J99:J101" si="38">I99+H99+G99+F99</f>
        <v>1360</v>
      </c>
    </row>
    <row r="100" spans="1:10" s="41" customFormat="1" ht="24.75">
      <c r="A100" s="435"/>
      <c r="B100" s="512" t="s">
        <v>139</v>
      </c>
      <c r="C100" s="516">
        <v>1</v>
      </c>
      <c r="D100" s="517">
        <v>9478.2999999999993</v>
      </c>
      <c r="E100" s="516">
        <v>5</v>
      </c>
      <c r="F100" s="514">
        <f>SUM(C100*D100*E100)</f>
        <v>47391.5</v>
      </c>
      <c r="G100" s="508">
        <f>142.17*C100*E100</f>
        <v>710.84999999999991</v>
      </c>
      <c r="H100" s="508">
        <f>185*C100*E100</f>
        <v>925</v>
      </c>
      <c r="I100" s="508">
        <f>(F100+G100+H100)*16%</f>
        <v>7844.3760000000002</v>
      </c>
      <c r="J100" s="509">
        <f>I100+H100+G100+F100</f>
        <v>56871.726000000002</v>
      </c>
    </row>
    <row r="101" spans="1:10" s="41" customFormat="1" ht="15">
      <c r="A101" s="435"/>
      <c r="B101" s="513" t="s">
        <v>73</v>
      </c>
      <c r="C101" s="149">
        <v>2</v>
      </c>
      <c r="D101" s="150">
        <v>34</v>
      </c>
      <c r="E101" s="149">
        <v>5</v>
      </c>
      <c r="F101" s="515"/>
      <c r="G101" s="150"/>
      <c r="H101" s="150">
        <f>E101*D101*C101</f>
        <v>340</v>
      </c>
      <c r="I101" s="150">
        <v>0</v>
      </c>
      <c r="J101" s="150">
        <f t="shared" si="38"/>
        <v>340</v>
      </c>
    </row>
    <row r="102" spans="1:10" s="41" customFormat="1" ht="15">
      <c r="A102" s="435"/>
      <c r="B102" s="518" t="s">
        <v>354</v>
      </c>
      <c r="C102" s="521">
        <v>10</v>
      </c>
      <c r="D102" s="522">
        <v>5497</v>
      </c>
      <c r="E102" s="521">
        <v>1</v>
      </c>
      <c r="F102" s="523">
        <f t="shared" ref="F102:F104" si="39">SUM(C102*D102*E102)</f>
        <v>54970</v>
      </c>
      <c r="G102" s="522">
        <v>0</v>
      </c>
      <c r="H102" s="522">
        <f>2655*C102</f>
        <v>26550</v>
      </c>
      <c r="I102" s="522">
        <f>880*C102</f>
        <v>8800</v>
      </c>
      <c r="J102" s="522">
        <f t="shared" ref="J102:J104" si="40">I102+H102+G102+F102</f>
        <v>90320</v>
      </c>
    </row>
    <row r="103" spans="1:10" s="41" customFormat="1" ht="15">
      <c r="A103" s="520"/>
      <c r="B103" s="519" t="s">
        <v>141</v>
      </c>
      <c r="C103" s="511">
        <v>10</v>
      </c>
      <c r="D103" s="507">
        <v>230</v>
      </c>
      <c r="E103" s="511">
        <v>1</v>
      </c>
      <c r="F103" s="507">
        <f>C103*D103*E103</f>
        <v>2300</v>
      </c>
      <c r="G103" s="507"/>
      <c r="H103" s="507"/>
      <c r="I103" s="507">
        <f>F103*16%</f>
        <v>368</v>
      </c>
      <c r="J103" s="507">
        <f>SUM(F103:I103)</f>
        <v>2668</v>
      </c>
    </row>
    <row r="104" spans="1:10" s="41" customFormat="1" ht="19.899999999999999" customHeight="1">
      <c r="A104" s="436"/>
      <c r="B104" s="56" t="s">
        <v>142</v>
      </c>
      <c r="C104" s="57">
        <v>10</v>
      </c>
      <c r="D104" s="59">
        <v>1500</v>
      </c>
      <c r="E104" s="57">
        <v>5</v>
      </c>
      <c r="F104" s="59">
        <f t="shared" si="39"/>
        <v>75000</v>
      </c>
      <c r="G104" s="59">
        <v>0</v>
      </c>
      <c r="H104" s="59">
        <v>0</v>
      </c>
      <c r="I104" s="59">
        <f t="shared" ref="I102:I104" si="41">(F104*16%)+(G104*16%)+(H104*16%)</f>
        <v>12000</v>
      </c>
      <c r="J104" s="510">
        <f t="shared" si="40"/>
        <v>87000</v>
      </c>
    </row>
    <row r="105" spans="1:10" ht="15" thickBot="1">
      <c r="A105" s="18"/>
      <c r="B105" s="19" t="s">
        <v>78</v>
      </c>
      <c r="C105" s="35"/>
      <c r="D105" s="36"/>
      <c r="E105" s="35"/>
      <c r="F105" s="65">
        <f>SUM(F98:F104)</f>
        <v>369227.5</v>
      </c>
      <c r="G105" s="65">
        <f>SUM(G98:G104)</f>
        <v>3554.2499999999995</v>
      </c>
      <c r="H105" s="65">
        <f t="shared" ref="H105:J105" si="42">SUM(H98:H104)</f>
        <v>32875</v>
      </c>
      <c r="I105" s="65">
        <f t="shared" si="42"/>
        <v>60389.880000000005</v>
      </c>
      <c r="J105" s="65">
        <f t="shared" si="42"/>
        <v>466046.63</v>
      </c>
    </row>
    <row r="106" spans="1:10" ht="27" thickBot="1">
      <c r="A106" s="23"/>
      <c r="B106" s="28" t="s">
        <v>143</v>
      </c>
      <c r="C106" s="82"/>
      <c r="D106" s="83"/>
      <c r="E106" s="82"/>
      <c r="F106" s="83">
        <f>F105</f>
        <v>369227.5</v>
      </c>
      <c r="G106" s="83">
        <f>G105</f>
        <v>3554.2499999999995</v>
      </c>
      <c r="H106" s="83">
        <f>H105</f>
        <v>32875</v>
      </c>
      <c r="I106" s="83">
        <f>I105</f>
        <v>60389.880000000005</v>
      </c>
      <c r="J106" s="83">
        <f>J105</f>
        <v>466046.63</v>
      </c>
    </row>
    <row r="107" spans="1:10">
      <c r="A107" s="23"/>
      <c r="B107" s="24"/>
      <c r="C107" s="25"/>
      <c r="D107" s="26"/>
      <c r="E107" s="25"/>
      <c r="F107" s="26"/>
      <c r="G107" s="26"/>
      <c r="H107" s="26"/>
      <c r="I107" s="26"/>
      <c r="J107" s="26"/>
    </row>
    <row r="108" spans="1:10" ht="24" thickBot="1">
      <c r="A108" s="430" t="s">
        <v>1</v>
      </c>
      <c r="B108" s="430"/>
      <c r="C108" s="430"/>
      <c r="D108" s="430"/>
      <c r="E108" s="430"/>
      <c r="F108" s="26"/>
      <c r="G108" s="26"/>
      <c r="H108" s="26"/>
      <c r="I108" s="26"/>
      <c r="J108" s="26"/>
    </row>
    <row r="109" spans="1:10" ht="15" thickBot="1">
      <c r="A109" s="39"/>
      <c r="B109" s="85"/>
      <c r="C109" s="82"/>
      <c r="D109" s="83"/>
      <c r="E109" s="86" t="s">
        <v>144</v>
      </c>
      <c r="F109" s="83">
        <f>F32</f>
        <v>6446749.5600000005</v>
      </c>
      <c r="G109" s="83">
        <f>G32</f>
        <v>96091.500000000015</v>
      </c>
      <c r="H109" s="83">
        <f>H32</f>
        <v>258530</v>
      </c>
      <c r="I109" s="83">
        <f>I32</f>
        <v>1084601.7696</v>
      </c>
      <c r="J109" s="83">
        <f>SUM(F109:I109)</f>
        <v>7885972.8296000008</v>
      </c>
    </row>
    <row r="110" spans="1:10" ht="15" thickBot="1">
      <c r="A110" s="39"/>
      <c r="B110" s="85"/>
      <c r="C110" s="82"/>
      <c r="D110" s="83"/>
      <c r="E110" s="86" t="s">
        <v>145</v>
      </c>
      <c r="F110" s="83">
        <f>F60</f>
        <v>0</v>
      </c>
      <c r="G110" s="83">
        <f>G60</f>
        <v>0</v>
      </c>
      <c r="H110" s="83">
        <f>H60</f>
        <v>0</v>
      </c>
      <c r="I110" s="83">
        <f>I60</f>
        <v>0</v>
      </c>
      <c r="J110" s="83">
        <f>SUM(F110:I110)</f>
        <v>0</v>
      </c>
    </row>
    <row r="111" spans="1:10" ht="15" thickBot="1">
      <c r="A111" s="39"/>
      <c r="B111" s="85"/>
      <c r="C111" s="82"/>
      <c r="D111" s="83"/>
      <c r="E111" s="86" t="s">
        <v>146</v>
      </c>
      <c r="F111" s="83">
        <f>F75</f>
        <v>202000</v>
      </c>
      <c r="G111" s="83">
        <f>G75</f>
        <v>0</v>
      </c>
      <c r="H111" s="83">
        <f>H75</f>
        <v>12120</v>
      </c>
      <c r="I111" s="83">
        <f>I75</f>
        <v>32320</v>
      </c>
      <c r="J111" s="83">
        <f>SUM(F111:I111)</f>
        <v>246440</v>
      </c>
    </row>
    <row r="112" spans="1:10" ht="15" thickBot="1">
      <c r="A112" s="39"/>
      <c r="B112" s="85"/>
      <c r="C112" s="82"/>
      <c r="D112" s="83"/>
      <c r="E112" s="86" t="str">
        <f>A77</f>
        <v>TELEMARKETING</v>
      </c>
      <c r="F112" s="83">
        <f>F83</f>
        <v>0</v>
      </c>
      <c r="G112" s="83">
        <f>G83</f>
        <v>0</v>
      </c>
      <c r="H112" s="83">
        <f>H83</f>
        <v>0</v>
      </c>
      <c r="I112" s="83">
        <f>I83</f>
        <v>0</v>
      </c>
      <c r="J112" s="83">
        <f>SUM(F112:I112)</f>
        <v>0</v>
      </c>
    </row>
    <row r="113" spans="1:10" ht="15" thickBot="1">
      <c r="A113" s="39"/>
      <c r="B113" s="85"/>
      <c r="C113" s="82"/>
      <c r="D113" s="83"/>
      <c r="E113" s="86" t="s">
        <v>30</v>
      </c>
      <c r="F113" s="83">
        <f>F94</f>
        <v>0</v>
      </c>
      <c r="G113" s="83">
        <f>G94</f>
        <v>0</v>
      </c>
      <c r="H113" s="83">
        <f>H94</f>
        <v>0</v>
      </c>
      <c r="I113" s="83">
        <f>I94</f>
        <v>0</v>
      </c>
      <c r="J113" s="83">
        <f>SUM(F113:I113)</f>
        <v>0</v>
      </c>
    </row>
    <row r="114" spans="1:10" ht="15" thickBot="1">
      <c r="A114" s="40"/>
      <c r="B114" s="87"/>
      <c r="C114" s="88"/>
      <c r="D114" s="89"/>
      <c r="E114" s="90" t="s">
        <v>147</v>
      </c>
      <c r="F114" s="89">
        <f>SUM(F109:F113)</f>
        <v>6648749.5600000005</v>
      </c>
      <c r="G114" s="89">
        <f t="shared" ref="G114:I114" si="43">SUM(G109:G113)</f>
        <v>96091.500000000015</v>
      </c>
      <c r="H114" s="89">
        <f t="shared" si="43"/>
        <v>270650</v>
      </c>
      <c r="I114" s="89">
        <f t="shared" si="43"/>
        <v>1116921.7696</v>
      </c>
      <c r="J114" s="89">
        <f>SUM(J109:J113)</f>
        <v>8132412.8296000008</v>
      </c>
    </row>
    <row r="115" spans="1:10" ht="15" thickBot="1">
      <c r="A115" s="39"/>
      <c r="B115" s="85"/>
      <c r="C115" s="82"/>
      <c r="D115" s="83"/>
      <c r="E115" s="86" t="s">
        <v>148</v>
      </c>
      <c r="F115" s="83">
        <f>(F109+F110+F111+F112+F113)*6%</f>
        <v>398924.97360000003</v>
      </c>
      <c r="G115" s="83"/>
      <c r="H115" s="83"/>
      <c r="I115" s="83">
        <f>F115*16%</f>
        <v>63827.995776000003</v>
      </c>
      <c r="J115" s="83">
        <f>SUM(F115:I115)</f>
        <v>462752.96937600005</v>
      </c>
    </row>
    <row r="116" spans="1:10" ht="15" thickBot="1">
      <c r="A116" s="39"/>
      <c r="B116" s="85"/>
      <c r="C116" s="82"/>
      <c r="D116" s="83"/>
      <c r="E116" s="86" t="s">
        <v>149</v>
      </c>
      <c r="F116" s="83">
        <f>F106</f>
        <v>369227.5</v>
      </c>
      <c r="G116" s="83">
        <f>G106</f>
        <v>3554.2499999999995</v>
      </c>
      <c r="H116" s="83">
        <f>H106</f>
        <v>32875</v>
      </c>
      <c r="I116" s="83">
        <f>I106</f>
        <v>60389.880000000005</v>
      </c>
      <c r="J116" s="83">
        <f>SUM(F116:I116)</f>
        <v>466046.63</v>
      </c>
    </row>
    <row r="117" spans="1:10" ht="15" thickBot="1">
      <c r="A117" s="40"/>
      <c r="B117" s="87"/>
      <c r="C117" s="88"/>
      <c r="D117" s="89"/>
      <c r="E117" s="90" t="s">
        <v>150</v>
      </c>
      <c r="F117" s="89">
        <f>SUM(F114:F116)</f>
        <v>7416902.0336000007</v>
      </c>
      <c r="G117" s="89">
        <f>SUM(G114:G116)</f>
        <v>99645.750000000015</v>
      </c>
      <c r="H117" s="89">
        <f>SUM(H114:H116)</f>
        <v>303525</v>
      </c>
      <c r="I117" s="89">
        <f>SUM(I114:I116)</f>
        <v>1241139.6453760001</v>
      </c>
      <c r="J117" s="89">
        <f>SUM(J114:J116)</f>
        <v>9061212.4289760012</v>
      </c>
    </row>
    <row r="120" spans="1:10">
      <c r="A120" s="98" t="s">
        <v>151</v>
      </c>
    </row>
    <row r="121" spans="1:10" ht="15"/>
    <row r="122" spans="1:10" ht="15"/>
    <row r="123" spans="1:10" ht="15"/>
    <row r="124" spans="1:10" ht="15"/>
    <row r="125" spans="1:10" ht="15"/>
    <row r="126" spans="1:10" ht="15"/>
    <row r="127" spans="1:10" ht="15"/>
    <row r="128" spans="1:10" ht="15"/>
    <row r="129" ht="15"/>
    <row r="132" ht="15"/>
    <row r="133" ht="15"/>
    <row r="135" ht="15"/>
  </sheetData>
  <mergeCells count="27">
    <mergeCell ref="A19:A20"/>
    <mergeCell ref="A1:J5"/>
    <mergeCell ref="B7:J7"/>
    <mergeCell ref="B8:J8"/>
    <mergeCell ref="B9:J9"/>
    <mergeCell ref="B10:J10"/>
    <mergeCell ref="B11:J11"/>
    <mergeCell ref="B12:J12"/>
    <mergeCell ref="B13:J13"/>
    <mergeCell ref="F14:G14"/>
    <mergeCell ref="H14:J14"/>
    <mergeCell ref="A17:B17"/>
    <mergeCell ref="A21:A29"/>
    <mergeCell ref="A63:B63"/>
    <mergeCell ref="A65:A71"/>
    <mergeCell ref="A72:A73"/>
    <mergeCell ref="A77:B77"/>
    <mergeCell ref="A52:A57"/>
    <mergeCell ref="A35:B35"/>
    <mergeCell ref="A37:A38"/>
    <mergeCell ref="A39:A45"/>
    <mergeCell ref="A46:A51"/>
    <mergeCell ref="A108:E108"/>
    <mergeCell ref="A85:B85"/>
    <mergeCell ref="A87:A89"/>
    <mergeCell ref="A96:B96"/>
    <mergeCell ref="A98:A10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3CD1-A001-4AB5-B578-4C3F57A18E72}">
  <sheetPr>
    <tabColor theme="0"/>
  </sheetPr>
  <dimension ref="A1:N110"/>
  <sheetViews>
    <sheetView zoomScale="90" zoomScaleNormal="90" workbookViewId="0">
      <selection activeCell="B9" sqref="B9:J9"/>
    </sheetView>
  </sheetViews>
  <sheetFormatPr defaultColWidth="8.85546875" defaultRowHeight="15"/>
  <cols>
    <col min="1" max="1" width="20.7109375" customWidth="1"/>
    <col min="2" max="2" width="49.140625" customWidth="1"/>
    <col min="3" max="3" width="10.5703125" customWidth="1"/>
    <col min="4" max="4" width="15.7109375" customWidth="1"/>
    <col min="5" max="5" width="13.85546875" customWidth="1"/>
    <col min="6" max="6" width="16.85546875" customWidth="1"/>
    <col min="7" max="8" width="13.85546875" customWidth="1"/>
    <col min="9" max="9" width="15.28515625" bestFit="1" customWidth="1"/>
    <col min="10" max="10" width="19.28515625" customWidth="1"/>
    <col min="11" max="11" width="9.140625"/>
    <col min="12" max="12" width="12.28515625" bestFit="1" customWidth="1"/>
  </cols>
  <sheetData>
    <row r="1" spans="1:10">
      <c r="A1" s="438" t="s">
        <v>44</v>
      </c>
      <c r="B1" s="438"/>
      <c r="C1" s="438"/>
      <c r="D1" s="438"/>
      <c r="E1" s="438"/>
      <c r="F1" s="438"/>
      <c r="G1" s="438"/>
      <c r="H1" s="438"/>
      <c r="I1" s="438"/>
      <c r="J1" s="438"/>
    </row>
    <row r="2" spans="1:10">
      <c r="A2" s="438"/>
      <c r="B2" s="438"/>
      <c r="C2" s="438"/>
      <c r="D2" s="438"/>
      <c r="E2" s="438"/>
      <c r="F2" s="438"/>
      <c r="G2" s="438"/>
      <c r="H2" s="438"/>
      <c r="I2" s="438"/>
      <c r="J2" s="438"/>
    </row>
    <row r="3" spans="1:10">
      <c r="A3" s="438"/>
      <c r="B3" s="438"/>
      <c r="C3" s="438"/>
      <c r="D3" s="438"/>
      <c r="E3" s="438"/>
      <c r="F3" s="438"/>
      <c r="G3" s="438"/>
      <c r="H3" s="438"/>
      <c r="I3" s="438"/>
      <c r="J3" s="438"/>
    </row>
    <row r="4" spans="1:10">
      <c r="A4" s="438"/>
      <c r="B4" s="438"/>
      <c r="C4" s="438"/>
      <c r="D4" s="438"/>
      <c r="E4" s="438"/>
      <c r="F4" s="438"/>
      <c r="G4" s="438"/>
      <c r="H4" s="438"/>
      <c r="I4" s="438"/>
      <c r="J4" s="438"/>
    </row>
    <row r="5" spans="1:10">
      <c r="A5" s="438"/>
      <c r="B5" s="438"/>
      <c r="C5" s="438"/>
      <c r="D5" s="438"/>
      <c r="E5" s="438"/>
      <c r="F5" s="438"/>
      <c r="G5" s="438"/>
      <c r="H5" s="438"/>
      <c r="I5" s="438"/>
      <c r="J5" s="438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>
      <c r="A7" s="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75">
      <c r="A8" s="2" t="s">
        <v>46</v>
      </c>
      <c r="B8" s="448" t="s">
        <v>372</v>
      </c>
      <c r="C8" s="448"/>
      <c r="D8" s="448"/>
      <c r="E8" s="448"/>
      <c r="F8" s="448"/>
      <c r="G8" s="448"/>
      <c r="H8" s="448"/>
      <c r="I8" s="448"/>
      <c r="J8" s="448"/>
    </row>
    <row r="9" spans="1:10" ht="15.75">
      <c r="A9" s="2" t="s">
        <v>48</v>
      </c>
      <c r="B9" s="449" t="s">
        <v>373</v>
      </c>
      <c r="C9" s="449"/>
      <c r="D9" s="449"/>
      <c r="E9" s="449"/>
      <c r="F9" s="449"/>
      <c r="G9" s="449"/>
      <c r="H9" s="449"/>
      <c r="I9" s="449"/>
      <c r="J9" s="449"/>
    </row>
    <row r="10" spans="1:10" ht="15.75">
      <c r="A10" s="2" t="s">
        <v>50</v>
      </c>
      <c r="B10" s="450" t="s">
        <v>195</v>
      </c>
      <c r="C10" s="450"/>
      <c r="D10" s="450"/>
      <c r="E10" s="450"/>
      <c r="F10" s="450"/>
      <c r="G10" s="450"/>
      <c r="H10" s="450"/>
      <c r="I10" s="450"/>
      <c r="J10" s="450"/>
    </row>
    <row r="11" spans="1:10" ht="15.75">
      <c r="A11" s="2" t="s">
        <v>52</v>
      </c>
      <c r="B11" s="450" t="s">
        <v>374</v>
      </c>
      <c r="C11" s="450"/>
      <c r="D11" s="450"/>
      <c r="E11" s="450"/>
      <c r="F11" s="450"/>
      <c r="G11" s="450"/>
      <c r="H11" s="450"/>
      <c r="I11" s="450"/>
      <c r="J11" s="450"/>
    </row>
    <row r="12" spans="1:10" ht="15.75">
      <c r="A12" s="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2" t="s">
        <v>56</v>
      </c>
      <c r="B13" s="450"/>
      <c r="C13" s="450"/>
      <c r="D13" s="450"/>
      <c r="E13" s="450"/>
      <c r="F13" s="450"/>
      <c r="G13" s="450"/>
      <c r="H13" s="450"/>
      <c r="I13" s="450"/>
      <c r="J13" s="450"/>
    </row>
    <row r="14" spans="1:10">
      <c r="A14" s="3" t="s">
        <v>57</v>
      </c>
      <c r="B14" s="4" t="s">
        <v>58</v>
      </c>
      <c r="C14" s="5" t="s">
        <v>59</v>
      </c>
      <c r="D14" s="6">
        <v>20</v>
      </c>
      <c r="E14" s="7"/>
      <c r="F14" s="451" t="s">
        <v>60</v>
      </c>
      <c r="G14" s="451"/>
      <c r="H14" s="452"/>
      <c r="I14" s="452"/>
      <c r="J14" s="452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ht="15" customHeight="1">
      <c r="A17" s="431" t="s">
        <v>61</v>
      </c>
      <c r="B17" s="431"/>
      <c r="C17" s="7"/>
      <c r="D17" s="7"/>
      <c r="E17" s="7"/>
      <c r="F17" s="7"/>
      <c r="G17" s="7"/>
      <c r="H17" s="7"/>
      <c r="I17" s="7"/>
      <c r="J17" s="7"/>
    </row>
    <row r="18" spans="1:12">
      <c r="A18" s="78" t="s">
        <v>62</v>
      </c>
      <c r="B18" s="79" t="s">
        <v>13</v>
      </c>
      <c r="C18" s="80" t="s">
        <v>63</v>
      </c>
      <c r="D18" s="80" t="s">
        <v>64</v>
      </c>
      <c r="E18" s="80" t="s">
        <v>65</v>
      </c>
      <c r="F18" s="80" t="s">
        <v>66</v>
      </c>
      <c r="G18" s="80" t="s">
        <v>67</v>
      </c>
      <c r="H18" s="80" t="s">
        <v>68</v>
      </c>
      <c r="I18" s="80" t="s">
        <v>69</v>
      </c>
      <c r="J18" s="8" t="s">
        <v>70</v>
      </c>
    </row>
    <row r="19" spans="1:12" s="41" customFormat="1">
      <c r="A19" s="154" t="s">
        <v>71</v>
      </c>
      <c r="B19" s="155" t="s">
        <v>72</v>
      </c>
      <c r="C19" s="156">
        <v>5</v>
      </c>
      <c r="D19" s="157">
        <f>592*20</f>
        <v>11840</v>
      </c>
      <c r="E19" s="156">
        <v>1</v>
      </c>
      <c r="F19" s="157">
        <f>SUM(C19*D19*E19)</f>
        <v>59200</v>
      </c>
      <c r="G19" s="157">
        <f>0*C19*E19</f>
        <v>0</v>
      </c>
      <c r="H19" s="157">
        <f>0*C19*E19</f>
        <v>0</v>
      </c>
      <c r="I19" s="157">
        <f>F19*16%</f>
        <v>9472</v>
      </c>
      <c r="J19" s="158">
        <f>I19+H19+G19+F19</f>
        <v>68672</v>
      </c>
      <c r="L19" s="123"/>
    </row>
    <row r="20" spans="1:12" s="41" customFormat="1">
      <c r="A20" s="484" t="s">
        <v>74</v>
      </c>
      <c r="B20" s="159" t="s">
        <v>72</v>
      </c>
      <c r="C20" s="160">
        <v>30</v>
      </c>
      <c r="D20" s="133">
        <f>592*20</f>
        <v>11840</v>
      </c>
      <c r="E20" s="160">
        <v>3</v>
      </c>
      <c r="F20" s="133">
        <f>SUM(C20*D20*E20)</f>
        <v>1065600</v>
      </c>
      <c r="G20" s="133">
        <f>0*C20*E20</f>
        <v>0</v>
      </c>
      <c r="H20" s="133">
        <f>0*C20*E20</f>
        <v>0</v>
      </c>
      <c r="I20" s="133">
        <f>F20*16%</f>
        <v>170496</v>
      </c>
      <c r="J20" s="161">
        <f>I20+H20+G20+F20</f>
        <v>1236096</v>
      </c>
    </row>
    <row r="21" spans="1:12" s="41" customFormat="1">
      <c r="A21" s="484"/>
      <c r="B21" s="46" t="s">
        <v>155</v>
      </c>
      <c r="C21" s="47">
        <v>190</v>
      </c>
      <c r="D21" s="48">
        <f>740*20</f>
        <v>14800</v>
      </c>
      <c r="E21" s="47">
        <v>3</v>
      </c>
      <c r="F21" s="48">
        <f>SUM(C21*D21*E21)</f>
        <v>8436000</v>
      </c>
      <c r="G21" s="48">
        <f>0*C21*E21</f>
        <v>0</v>
      </c>
      <c r="H21" s="48">
        <f>0*C21*E21</f>
        <v>0</v>
      </c>
      <c r="I21" s="48">
        <f>F21*16%</f>
        <v>1349760</v>
      </c>
      <c r="J21" s="49">
        <f t="shared" ref="J21:J22" si="0">I21+H21+G21+F21</f>
        <v>9785760</v>
      </c>
    </row>
    <row r="22" spans="1:12" s="41" customFormat="1">
      <c r="A22" s="484"/>
      <c r="B22" s="99" t="s">
        <v>76</v>
      </c>
      <c r="C22" s="100">
        <v>-5</v>
      </c>
      <c r="D22" s="101">
        <f>592*20</f>
        <v>11840</v>
      </c>
      <c r="E22" s="100">
        <v>-3</v>
      </c>
      <c r="F22" s="101">
        <f>SUM(C22*D22*E22)</f>
        <v>177600</v>
      </c>
      <c r="G22" s="101">
        <f>0*C22*E22</f>
        <v>0</v>
      </c>
      <c r="H22" s="101">
        <f>0*C22*E22</f>
        <v>0</v>
      </c>
      <c r="I22" s="101">
        <f>-F22*16%</f>
        <v>-28416</v>
      </c>
      <c r="J22" s="102">
        <f t="shared" si="0"/>
        <v>149184</v>
      </c>
    </row>
    <row r="23" spans="1:12" s="41" customFormat="1">
      <c r="A23" s="418"/>
      <c r="B23" s="422" t="s">
        <v>77</v>
      </c>
      <c r="C23" s="423">
        <v>1</v>
      </c>
      <c r="D23" s="424">
        <v>745000</v>
      </c>
      <c r="E23" s="423">
        <v>1</v>
      </c>
      <c r="F23" s="424">
        <f>SUM(C23*D23*E23)</f>
        <v>745000</v>
      </c>
      <c r="G23" s="174">
        <f>142.17*C23*E23</f>
        <v>142.16999999999999</v>
      </c>
      <c r="H23" s="174">
        <f>185*C23*E23</f>
        <v>185</v>
      </c>
      <c r="I23" s="174">
        <f>(F23+G23+H23)*16%</f>
        <v>119252.3472</v>
      </c>
      <c r="J23" s="175">
        <f>I23+H23+G23+F23</f>
        <v>864579.5172</v>
      </c>
    </row>
    <row r="24" spans="1:12">
      <c r="A24" s="18"/>
      <c r="B24" s="19" t="s">
        <v>78</v>
      </c>
      <c r="C24" s="20"/>
      <c r="D24" s="21"/>
      <c r="E24" s="20"/>
      <c r="F24" s="22">
        <f>SUM(F19:F23)</f>
        <v>10483400</v>
      </c>
      <c r="G24" s="22">
        <f>SUM(G19:G23)</f>
        <v>142.16999999999999</v>
      </c>
      <c r="H24" s="22">
        <f>SUM(H19:H23)</f>
        <v>185</v>
      </c>
      <c r="I24" s="22">
        <f>SUM(I19:I23)</f>
        <v>1620564.3472</v>
      </c>
      <c r="J24" s="22">
        <f>SUM(J19:J23)</f>
        <v>12104291.517200001</v>
      </c>
    </row>
    <row r="25" spans="1:12">
      <c r="A25" s="23"/>
      <c r="B25" s="28" t="s">
        <v>79</v>
      </c>
      <c r="C25" s="82"/>
      <c r="D25" s="83"/>
      <c r="E25" s="82"/>
      <c r="F25" s="83">
        <f>F24</f>
        <v>10483400</v>
      </c>
      <c r="G25" s="83">
        <f t="shared" ref="G25:J25" si="1">G24</f>
        <v>142.16999999999999</v>
      </c>
      <c r="H25" s="83">
        <f t="shared" si="1"/>
        <v>185</v>
      </c>
      <c r="I25" s="83">
        <f t="shared" si="1"/>
        <v>1620564.3472</v>
      </c>
      <c r="J25" s="83">
        <f t="shared" si="1"/>
        <v>12104291.517200001</v>
      </c>
    </row>
    <row r="26" spans="1:12">
      <c r="A26" s="18"/>
      <c r="B26" s="29"/>
      <c r="C26" s="20"/>
      <c r="D26" s="30"/>
      <c r="E26" s="20"/>
      <c r="F26" s="30"/>
      <c r="G26" s="30"/>
      <c r="H26" s="30"/>
      <c r="I26" s="30"/>
      <c r="J26" s="30"/>
    </row>
    <row r="27" spans="1:12">
      <c r="A27" s="18"/>
      <c r="B27" s="29"/>
      <c r="C27" s="20"/>
      <c r="D27" s="30"/>
      <c r="E27" s="20"/>
      <c r="F27" s="30"/>
      <c r="G27" s="30"/>
      <c r="H27" s="30"/>
      <c r="I27" s="30"/>
      <c r="J27" s="30"/>
    </row>
    <row r="28" spans="1:12">
      <c r="A28" s="431" t="s">
        <v>80</v>
      </c>
      <c r="B28" s="431"/>
      <c r="C28" s="7"/>
      <c r="D28" s="7"/>
      <c r="E28" s="7"/>
      <c r="F28" s="7"/>
      <c r="G28" s="7"/>
      <c r="H28" s="7"/>
      <c r="I28" s="7"/>
      <c r="J28" s="7"/>
    </row>
    <row r="29" spans="1:12">
      <c r="A29" s="78" t="s">
        <v>62</v>
      </c>
      <c r="B29" s="79" t="s">
        <v>13</v>
      </c>
      <c r="C29" s="80" t="s">
        <v>63</v>
      </c>
      <c r="D29" s="80" t="s">
        <v>64</v>
      </c>
      <c r="E29" s="80" t="s">
        <v>65</v>
      </c>
      <c r="F29" s="80" t="s">
        <v>66</v>
      </c>
      <c r="G29" s="80" t="s">
        <v>27</v>
      </c>
      <c r="H29" s="80" t="s">
        <v>68</v>
      </c>
      <c r="I29" s="80" t="s">
        <v>69</v>
      </c>
      <c r="J29" s="8" t="s">
        <v>70</v>
      </c>
    </row>
    <row r="30" spans="1:12" s="41" customFormat="1" ht="43.5" customHeight="1">
      <c r="A30" s="434" t="s">
        <v>71</v>
      </c>
      <c r="B30" s="128" t="s">
        <v>81</v>
      </c>
      <c r="C30" s="72">
        <v>5</v>
      </c>
      <c r="D30" s="71">
        <v>0</v>
      </c>
      <c r="E30" s="72">
        <v>1</v>
      </c>
      <c r="F30" s="74">
        <f t="shared" ref="F30:F37" si="2">SUM(C30*D30*E30)</f>
        <v>0</v>
      </c>
      <c r="G30" s="71"/>
      <c r="H30" s="71">
        <f t="shared" ref="H30:H37" si="3">F30*15%</f>
        <v>0</v>
      </c>
      <c r="I30" s="71">
        <f t="shared" ref="I30:I37" si="4">(F30*16%)+(H30*16%)</f>
        <v>0</v>
      </c>
      <c r="J30" s="73">
        <f t="shared" ref="J30:J37" si="5">I30+H30+G30+F30</f>
        <v>0</v>
      </c>
    </row>
    <row r="31" spans="1:12" s="41" customFormat="1">
      <c r="A31" s="434"/>
      <c r="B31" s="126" t="s">
        <v>82</v>
      </c>
      <c r="C31" s="57">
        <v>5</v>
      </c>
      <c r="D31" s="58">
        <v>0</v>
      </c>
      <c r="E31" s="57">
        <v>1</v>
      </c>
      <c r="F31" s="59">
        <f t="shared" si="2"/>
        <v>0</v>
      </c>
      <c r="G31" s="58"/>
      <c r="H31" s="58">
        <f t="shared" si="3"/>
        <v>0</v>
      </c>
      <c r="I31" s="58">
        <f t="shared" si="4"/>
        <v>0</v>
      </c>
      <c r="J31" s="60">
        <f t="shared" si="5"/>
        <v>0</v>
      </c>
    </row>
    <row r="32" spans="1:12" s="41" customFormat="1" ht="43.5" customHeight="1">
      <c r="A32" s="435" t="s">
        <v>83</v>
      </c>
      <c r="B32" s="129" t="s">
        <v>84</v>
      </c>
      <c r="C32" s="10">
        <v>5</v>
      </c>
      <c r="D32" s="31">
        <v>0</v>
      </c>
      <c r="E32" s="10">
        <v>1</v>
      </c>
      <c r="F32" s="48">
        <f t="shared" si="2"/>
        <v>0</v>
      </c>
      <c r="G32" s="31"/>
      <c r="H32" s="31">
        <f t="shared" si="3"/>
        <v>0</v>
      </c>
      <c r="I32" s="31">
        <f t="shared" si="4"/>
        <v>0</v>
      </c>
      <c r="J32" s="32">
        <f t="shared" si="5"/>
        <v>0</v>
      </c>
    </row>
    <row r="33" spans="1:10" s="41" customFormat="1" ht="29.25" customHeight="1">
      <c r="A33" s="435"/>
      <c r="B33" s="129" t="s">
        <v>85</v>
      </c>
      <c r="C33" s="10">
        <v>410</v>
      </c>
      <c r="D33" s="31">
        <v>0</v>
      </c>
      <c r="E33" s="10">
        <v>1</v>
      </c>
      <c r="F33" s="48">
        <f t="shared" si="2"/>
        <v>0</v>
      </c>
      <c r="G33" s="31"/>
      <c r="H33" s="31">
        <f t="shared" si="3"/>
        <v>0</v>
      </c>
      <c r="I33" s="31">
        <f t="shared" si="4"/>
        <v>0</v>
      </c>
      <c r="J33" s="32">
        <f t="shared" si="5"/>
        <v>0</v>
      </c>
    </row>
    <row r="34" spans="1:10" s="41" customFormat="1" ht="32.25" customHeight="1">
      <c r="A34" s="435"/>
      <c r="B34" s="242" t="s">
        <v>375</v>
      </c>
      <c r="C34" s="10">
        <v>410</v>
      </c>
      <c r="D34" s="243">
        <f>12.8*20</f>
        <v>256</v>
      </c>
      <c r="E34" s="10">
        <v>1</v>
      </c>
      <c r="F34" s="48">
        <f t="shared" si="2"/>
        <v>104960</v>
      </c>
      <c r="G34" s="31"/>
      <c r="H34" s="31">
        <f>F34*0%</f>
        <v>0</v>
      </c>
      <c r="I34" s="31">
        <f>(F34*16%)+(H34*16%)</f>
        <v>16793.599999999999</v>
      </c>
      <c r="J34" s="32">
        <f t="shared" si="5"/>
        <v>121753.60000000001</v>
      </c>
    </row>
    <row r="35" spans="1:10" s="41" customFormat="1" ht="61.5">
      <c r="A35" s="435"/>
      <c r="B35" s="130" t="s">
        <v>245</v>
      </c>
      <c r="C35" s="43">
        <v>410</v>
      </c>
      <c r="D35" s="245">
        <f>6.4*20</f>
        <v>128</v>
      </c>
      <c r="E35" s="43">
        <v>0</v>
      </c>
      <c r="F35" s="54">
        <f t="shared" si="2"/>
        <v>0</v>
      </c>
      <c r="G35" s="63"/>
      <c r="H35" s="63">
        <f>F35*15%</f>
        <v>0</v>
      </c>
      <c r="I35" s="63">
        <f>(F35*16%)+(H35*16%)</f>
        <v>0</v>
      </c>
      <c r="J35" s="64">
        <f t="shared" si="5"/>
        <v>0</v>
      </c>
    </row>
    <row r="36" spans="1:10" s="41" customFormat="1" ht="65.25" customHeight="1">
      <c r="A36" s="435"/>
      <c r="B36" s="131" t="s">
        <v>376</v>
      </c>
      <c r="C36" s="43">
        <v>410</v>
      </c>
      <c r="D36" s="63">
        <v>0</v>
      </c>
      <c r="E36" s="43">
        <v>1</v>
      </c>
      <c r="F36" s="44">
        <f t="shared" si="2"/>
        <v>0</v>
      </c>
      <c r="G36" s="63"/>
      <c r="H36" s="63">
        <f t="shared" ref="H36" si="6">F36*15%</f>
        <v>0</v>
      </c>
      <c r="I36" s="63">
        <f t="shared" ref="I36" si="7">(F36*16%)+(H36*16%)</f>
        <v>0</v>
      </c>
      <c r="J36" s="64">
        <f t="shared" si="5"/>
        <v>0</v>
      </c>
    </row>
    <row r="37" spans="1:10" s="41" customFormat="1" ht="80.25" customHeight="1">
      <c r="A37" s="435"/>
      <c r="B37" s="131" t="s">
        <v>377</v>
      </c>
      <c r="C37" s="43">
        <v>410</v>
      </c>
      <c r="D37" s="63">
        <v>0</v>
      </c>
      <c r="E37" s="43">
        <v>1</v>
      </c>
      <c r="F37" s="44">
        <f t="shared" si="2"/>
        <v>0</v>
      </c>
      <c r="G37" s="63"/>
      <c r="H37" s="63">
        <f t="shared" si="3"/>
        <v>0</v>
      </c>
      <c r="I37" s="63">
        <f t="shared" si="4"/>
        <v>0</v>
      </c>
      <c r="J37" s="64">
        <f t="shared" si="5"/>
        <v>0</v>
      </c>
    </row>
    <row r="38" spans="1:10" s="41" customFormat="1">
      <c r="A38" s="434" t="s">
        <v>92</v>
      </c>
      <c r="B38" s="128" t="s">
        <v>93</v>
      </c>
      <c r="C38" s="72">
        <v>410</v>
      </c>
      <c r="D38" s="71">
        <v>0</v>
      </c>
      <c r="E38" s="72">
        <v>1</v>
      </c>
      <c r="F38" s="74">
        <f>SUM(C38*D38*E38)</f>
        <v>0</v>
      </c>
      <c r="G38" s="71"/>
      <c r="H38" s="71">
        <f>F38*15%</f>
        <v>0</v>
      </c>
      <c r="I38" s="71">
        <f>(F38*16%)+(H38*16%)</f>
        <v>0</v>
      </c>
      <c r="J38" s="73">
        <f>I38+H38+G38+F38</f>
        <v>0</v>
      </c>
    </row>
    <row r="39" spans="1:10" s="41" customFormat="1" ht="29.25" customHeight="1">
      <c r="A39" s="434"/>
      <c r="B39" s="242" t="s">
        <v>378</v>
      </c>
      <c r="C39" s="10">
        <v>410</v>
      </c>
      <c r="D39" s="243">
        <f>25.6*20</f>
        <v>512</v>
      </c>
      <c r="E39" s="10">
        <v>1</v>
      </c>
      <c r="F39" s="48">
        <f t="shared" ref="F39:F43" si="8">SUM(C39*D39*E39)</f>
        <v>209920</v>
      </c>
      <c r="G39" s="31"/>
      <c r="H39" s="31">
        <f>F39*0%</f>
        <v>0</v>
      </c>
      <c r="I39" s="31">
        <f>(F39*16%)+(H39*16%)</f>
        <v>33587.199999999997</v>
      </c>
      <c r="J39" s="32">
        <f t="shared" ref="J39:J43" si="9">I39+H39+G39+F39</f>
        <v>243507.20000000001</v>
      </c>
    </row>
    <row r="40" spans="1:10" s="41" customFormat="1" ht="49.5">
      <c r="A40" s="434"/>
      <c r="B40" s="130" t="s">
        <v>249</v>
      </c>
      <c r="C40" s="43">
        <v>410</v>
      </c>
      <c r="D40" s="245">
        <f>6.4*20</f>
        <v>128</v>
      </c>
      <c r="E40" s="43">
        <v>0</v>
      </c>
      <c r="F40" s="48"/>
      <c r="G40" s="31"/>
      <c r="H40" s="31"/>
      <c r="I40" s="31"/>
      <c r="J40" s="32"/>
    </row>
    <row r="41" spans="1:10" s="41" customFormat="1" ht="31.5" customHeight="1">
      <c r="A41" s="434"/>
      <c r="B41" s="129" t="s">
        <v>95</v>
      </c>
      <c r="C41" s="10">
        <v>410</v>
      </c>
      <c r="D41" s="243">
        <v>0</v>
      </c>
      <c r="E41" s="10">
        <v>1</v>
      </c>
      <c r="F41" s="48">
        <f t="shared" ref="F41" si="10">SUM(C41*D41*E41)</f>
        <v>0</v>
      </c>
      <c r="G41" s="31"/>
      <c r="H41" s="31">
        <f t="shared" ref="H41" si="11">F41*15%</f>
        <v>0</v>
      </c>
      <c r="I41" s="31">
        <f t="shared" ref="I41" si="12">(F41*16%)+(H41*16%)</f>
        <v>0</v>
      </c>
      <c r="J41" s="32">
        <f t="shared" ref="J41" si="13">I41+H41+G41+F41</f>
        <v>0</v>
      </c>
    </row>
    <row r="42" spans="1:10" s="41" customFormat="1" ht="49.5">
      <c r="A42" s="434"/>
      <c r="B42" s="130" t="s">
        <v>250</v>
      </c>
      <c r="C42" s="43">
        <v>410</v>
      </c>
      <c r="D42" s="245">
        <f>6.4*20</f>
        <v>128</v>
      </c>
      <c r="E42" s="43">
        <v>0</v>
      </c>
      <c r="F42" s="48"/>
      <c r="G42" s="31"/>
      <c r="H42" s="31"/>
      <c r="I42" s="31"/>
      <c r="J42" s="32"/>
    </row>
    <row r="43" spans="1:10" s="41" customFormat="1" ht="48.75" customHeight="1">
      <c r="A43" s="434"/>
      <c r="B43" s="131" t="s">
        <v>379</v>
      </c>
      <c r="C43" s="43">
        <v>410</v>
      </c>
      <c r="D43" s="63">
        <v>0</v>
      </c>
      <c r="E43" s="43">
        <v>1</v>
      </c>
      <c r="F43" s="11">
        <f t="shared" si="8"/>
        <v>0</v>
      </c>
      <c r="G43" s="31"/>
      <c r="H43" s="31">
        <f t="shared" ref="H43" si="14">F43*15%</f>
        <v>0</v>
      </c>
      <c r="I43" s="31">
        <f t="shared" ref="I43" si="15">(F43*16%)+(H43*16%)</f>
        <v>0</v>
      </c>
      <c r="J43" s="32">
        <f t="shared" si="9"/>
        <v>0</v>
      </c>
    </row>
    <row r="44" spans="1:10" s="41" customFormat="1">
      <c r="A44" s="434" t="s">
        <v>98</v>
      </c>
      <c r="B44" s="128" t="s">
        <v>93</v>
      </c>
      <c r="C44" s="72">
        <v>410</v>
      </c>
      <c r="D44" s="71">
        <v>0</v>
      </c>
      <c r="E44" s="72"/>
      <c r="F44" s="74">
        <f>SUM(C44*D44*E44)</f>
        <v>0</v>
      </c>
      <c r="G44" s="71"/>
      <c r="H44" s="71">
        <f>F44*15%</f>
        <v>0</v>
      </c>
      <c r="I44" s="71">
        <f>(F44*16%)+(H44*16%)</f>
        <v>0</v>
      </c>
      <c r="J44" s="73">
        <f>I44+H44+G44+F44</f>
        <v>0</v>
      </c>
    </row>
    <row r="45" spans="1:10" s="41" customFormat="1" ht="30" customHeight="1">
      <c r="A45" s="434"/>
      <c r="B45" s="246" t="s">
        <v>375</v>
      </c>
      <c r="C45" s="10">
        <v>410</v>
      </c>
      <c r="D45" s="247">
        <f>12.8*20</f>
        <v>256</v>
      </c>
      <c r="E45" s="10">
        <v>1</v>
      </c>
      <c r="F45" s="209">
        <f t="shared" ref="F45:F48" si="16">SUM(C45*D45*E45)</f>
        <v>104960</v>
      </c>
      <c r="G45" s="31"/>
      <c r="H45" s="31">
        <f>F45*0%</f>
        <v>0</v>
      </c>
      <c r="I45" s="31">
        <f>(F45*16%)+(H45*16%)</f>
        <v>16793.599999999999</v>
      </c>
      <c r="J45" s="32">
        <f t="shared" ref="J45:J48" si="17">I45+H45+G45+F45</f>
        <v>121753.60000000001</v>
      </c>
    </row>
    <row r="46" spans="1:10" s="41" customFormat="1" ht="49.5">
      <c r="A46" s="434"/>
      <c r="B46" s="130" t="s">
        <v>249</v>
      </c>
      <c r="C46" s="43">
        <v>410</v>
      </c>
      <c r="D46" s="245">
        <f>6.4*20</f>
        <v>128</v>
      </c>
      <c r="E46" s="43">
        <v>0</v>
      </c>
      <c r="F46" s="11">
        <f t="shared" si="16"/>
        <v>0</v>
      </c>
      <c r="G46" s="31"/>
      <c r="H46" s="31">
        <f t="shared" ref="H45:H48" si="18">F46*15%</f>
        <v>0</v>
      </c>
      <c r="I46" s="31">
        <f t="shared" ref="I45:I48" si="19">(F46*16%)+(H46*16%)</f>
        <v>0</v>
      </c>
      <c r="J46" s="32">
        <f t="shared" si="17"/>
        <v>0</v>
      </c>
    </row>
    <row r="47" spans="1:10" s="41" customFormat="1" ht="33.75" customHeight="1">
      <c r="A47" s="434"/>
      <c r="B47" s="129" t="s">
        <v>85</v>
      </c>
      <c r="C47" s="10">
        <v>410</v>
      </c>
      <c r="D47" s="31">
        <v>0</v>
      </c>
      <c r="E47" s="10">
        <v>1</v>
      </c>
      <c r="F47" s="11">
        <f t="shared" si="16"/>
        <v>0</v>
      </c>
      <c r="G47" s="31"/>
      <c r="H47" s="31">
        <f t="shared" si="18"/>
        <v>0</v>
      </c>
      <c r="I47" s="31">
        <f t="shared" si="19"/>
        <v>0</v>
      </c>
      <c r="J47" s="32">
        <f t="shared" si="17"/>
        <v>0</v>
      </c>
    </row>
    <row r="48" spans="1:10" s="41" customFormat="1" ht="69" customHeight="1">
      <c r="A48" s="434"/>
      <c r="B48" s="129" t="s">
        <v>380</v>
      </c>
      <c r="C48" s="10">
        <v>410</v>
      </c>
      <c r="D48" s="31">
        <v>0</v>
      </c>
      <c r="E48" s="10">
        <v>1</v>
      </c>
      <c r="F48" s="11">
        <f t="shared" si="16"/>
        <v>0</v>
      </c>
      <c r="G48" s="31"/>
      <c r="H48" s="31">
        <f t="shared" si="18"/>
        <v>0</v>
      </c>
      <c r="I48" s="31">
        <f t="shared" si="19"/>
        <v>0</v>
      </c>
      <c r="J48" s="32">
        <f t="shared" si="17"/>
        <v>0</v>
      </c>
    </row>
    <row r="49" spans="1:10" s="41" customFormat="1">
      <c r="A49" s="75" t="s">
        <v>101</v>
      </c>
      <c r="B49" s="127" t="s">
        <v>93</v>
      </c>
      <c r="C49" s="57">
        <v>410</v>
      </c>
      <c r="D49" s="58">
        <v>0</v>
      </c>
      <c r="E49" s="57">
        <v>1</v>
      </c>
      <c r="F49" s="59">
        <f>SUM(C49*D49*E49)</f>
        <v>0</v>
      </c>
      <c r="G49" s="58"/>
      <c r="H49" s="58">
        <f>F49*15%</f>
        <v>0</v>
      </c>
      <c r="I49" s="58">
        <f>(F49*16%)+(H49*16%)</f>
        <v>0</v>
      </c>
      <c r="J49" s="60">
        <f>I49+H49+G49+F49</f>
        <v>0</v>
      </c>
    </row>
    <row r="50" spans="1:10">
      <c r="A50" s="18"/>
      <c r="B50" s="19" t="s">
        <v>78</v>
      </c>
      <c r="C50" s="20"/>
      <c r="D50" s="21"/>
      <c r="E50" s="20"/>
      <c r="F50" s="22">
        <f>SUM(F30:F49)</f>
        <v>419840</v>
      </c>
      <c r="G50" s="22">
        <f>SUM(G30:G49)</f>
        <v>0</v>
      </c>
      <c r="H50" s="22">
        <f>SUM(H30:H49)</f>
        <v>0</v>
      </c>
      <c r="I50" s="22">
        <f>SUM(I30:I49)</f>
        <v>67174.399999999994</v>
      </c>
      <c r="J50" s="22">
        <f>SUM(J30:J49)</f>
        <v>487014.40000000002</v>
      </c>
    </row>
    <row r="51" spans="1:10">
      <c r="A51" s="23"/>
      <c r="B51" s="28" t="s">
        <v>102</v>
      </c>
      <c r="C51" s="82"/>
      <c r="D51" s="83"/>
      <c r="E51" s="82"/>
      <c r="F51" s="83">
        <f>F50</f>
        <v>419840</v>
      </c>
      <c r="G51" s="83">
        <f t="shared" ref="G51:J51" si="20">G50</f>
        <v>0</v>
      </c>
      <c r="H51" s="83">
        <f t="shared" si="20"/>
        <v>0</v>
      </c>
      <c r="I51" s="83">
        <f t="shared" si="20"/>
        <v>67174.399999999994</v>
      </c>
      <c r="J51" s="83">
        <f t="shared" si="20"/>
        <v>487014.40000000002</v>
      </c>
    </row>
    <row r="52" spans="1:10">
      <c r="A52" s="18"/>
      <c r="B52" s="29"/>
      <c r="C52" s="20"/>
      <c r="D52" s="21"/>
      <c r="E52" s="20"/>
      <c r="F52" s="30"/>
      <c r="G52" s="30"/>
      <c r="H52" s="30"/>
      <c r="I52" s="30"/>
      <c r="J52" s="30"/>
    </row>
    <row r="53" spans="1:10">
      <c r="A53" s="18"/>
      <c r="B53" s="29"/>
      <c r="C53" s="20"/>
      <c r="D53" s="21"/>
      <c r="E53" s="20"/>
      <c r="F53" s="30"/>
      <c r="G53" s="30"/>
      <c r="H53" s="30"/>
      <c r="I53" s="30"/>
      <c r="J53" s="30"/>
    </row>
    <row r="54" spans="1:10">
      <c r="A54" s="431" t="s">
        <v>103</v>
      </c>
      <c r="B54" s="431"/>
      <c r="C54" s="7"/>
      <c r="D54" s="7"/>
      <c r="E54" s="7"/>
      <c r="F54" s="7"/>
      <c r="G54" s="7"/>
      <c r="H54" s="7"/>
      <c r="I54" s="7"/>
      <c r="J54" s="7"/>
    </row>
    <row r="55" spans="1:10">
      <c r="A55" s="84" t="s">
        <v>62</v>
      </c>
      <c r="B55" s="79" t="s">
        <v>13</v>
      </c>
      <c r="C55" s="80" t="s">
        <v>63</v>
      </c>
      <c r="D55" s="80" t="s">
        <v>64</v>
      </c>
      <c r="E55" s="80" t="s">
        <v>65</v>
      </c>
      <c r="F55" s="80" t="s">
        <v>66</v>
      </c>
      <c r="G55" s="80" t="s">
        <v>27</v>
      </c>
      <c r="H55" s="80" t="s">
        <v>68</v>
      </c>
      <c r="I55" s="80" t="s">
        <v>69</v>
      </c>
      <c r="J55" s="8" t="s">
        <v>70</v>
      </c>
    </row>
    <row r="56" spans="1:10">
      <c r="A56" s="427"/>
      <c r="B56" s="425" t="s">
        <v>381</v>
      </c>
      <c r="C56" s="183">
        <v>1</v>
      </c>
      <c r="D56" s="426">
        <v>2768</v>
      </c>
      <c r="E56" s="183">
        <v>1</v>
      </c>
      <c r="F56" s="426">
        <v>2768</v>
      </c>
      <c r="G56" s="426"/>
      <c r="H56" s="426">
        <v>166.07999999999998</v>
      </c>
      <c r="I56" s="426">
        <v>442.88</v>
      </c>
      <c r="J56" s="426">
        <v>3376.96</v>
      </c>
    </row>
    <row r="57" spans="1:10">
      <c r="A57" s="427"/>
      <c r="B57" s="425" t="s">
        <v>382</v>
      </c>
      <c r="C57" s="183">
        <v>4</v>
      </c>
      <c r="D57" s="426">
        <v>4498</v>
      </c>
      <c r="E57" s="183">
        <v>1</v>
      </c>
      <c r="F57" s="426">
        <v>17992</v>
      </c>
      <c r="G57" s="426"/>
      <c r="H57" s="426">
        <v>1079.52</v>
      </c>
      <c r="I57" s="426">
        <v>2878.7200000000003</v>
      </c>
      <c r="J57" s="426">
        <v>21950.240000000002</v>
      </c>
    </row>
    <row r="58" spans="1:10">
      <c r="A58" s="427"/>
      <c r="B58" s="425" t="s">
        <v>383</v>
      </c>
      <c r="C58" s="183">
        <v>4</v>
      </c>
      <c r="D58" s="426">
        <v>5882</v>
      </c>
      <c r="E58" s="183">
        <v>1</v>
      </c>
      <c r="F58" s="426">
        <v>23528</v>
      </c>
      <c r="G58" s="426"/>
      <c r="H58" s="426">
        <v>1411.6799999999998</v>
      </c>
      <c r="I58" s="426">
        <v>3764.48</v>
      </c>
      <c r="J58" s="426">
        <v>28704.16</v>
      </c>
    </row>
    <row r="59" spans="1:10">
      <c r="A59" s="427"/>
      <c r="B59" s="425" t="s">
        <v>384</v>
      </c>
      <c r="C59" s="183">
        <v>5</v>
      </c>
      <c r="D59" s="426">
        <v>16262</v>
      </c>
      <c r="E59" s="183">
        <v>1</v>
      </c>
      <c r="F59" s="426">
        <v>81310</v>
      </c>
      <c r="G59" s="426"/>
      <c r="H59" s="426">
        <v>4878.5999999999995</v>
      </c>
      <c r="I59" s="426">
        <v>13009.6</v>
      </c>
      <c r="J59" s="426">
        <v>99198.2</v>
      </c>
    </row>
    <row r="60" spans="1:10">
      <c r="A60" s="427"/>
      <c r="B60" s="425" t="s">
        <v>385</v>
      </c>
      <c r="C60" s="183">
        <v>2</v>
      </c>
      <c r="D60" s="426">
        <v>4498</v>
      </c>
      <c r="E60" s="183">
        <v>1</v>
      </c>
      <c r="F60" s="426">
        <v>8996</v>
      </c>
      <c r="G60" s="426"/>
      <c r="H60" s="426">
        <v>539.76</v>
      </c>
      <c r="I60" s="426">
        <v>1439.3600000000001</v>
      </c>
      <c r="J60" s="426">
        <v>10975.12</v>
      </c>
    </row>
    <row r="61" spans="1:10">
      <c r="A61" s="427"/>
      <c r="B61" s="425" t="s">
        <v>386</v>
      </c>
      <c r="C61" s="183">
        <v>1</v>
      </c>
      <c r="D61" s="426">
        <v>12808</v>
      </c>
      <c r="E61" s="183">
        <v>1</v>
      </c>
      <c r="F61" s="426">
        <v>12808</v>
      </c>
      <c r="G61" s="426"/>
      <c r="H61" s="426">
        <v>768.48</v>
      </c>
      <c r="I61" s="426">
        <v>2049.2800000000002</v>
      </c>
      <c r="J61" s="426">
        <v>15625.76</v>
      </c>
    </row>
    <row r="62" spans="1:10">
      <c r="A62" s="427"/>
      <c r="B62" s="425" t="s">
        <v>387</v>
      </c>
      <c r="C62" s="183">
        <v>6</v>
      </c>
      <c r="D62" s="426">
        <v>0</v>
      </c>
      <c r="E62" s="183">
        <v>1</v>
      </c>
      <c r="F62" s="426">
        <v>16262</v>
      </c>
      <c r="G62" s="426"/>
      <c r="H62" s="426">
        <v>975.71999999999991</v>
      </c>
      <c r="I62" s="426">
        <v>2601.92</v>
      </c>
      <c r="J62" s="426">
        <v>19839.64</v>
      </c>
    </row>
    <row r="63" spans="1:10">
      <c r="A63" s="18"/>
      <c r="B63" s="19" t="s">
        <v>78</v>
      </c>
      <c r="C63" s="20"/>
      <c r="D63" s="21"/>
      <c r="E63" s="20"/>
      <c r="F63" s="27">
        <f>SUM(F56:F62)</f>
        <v>163664</v>
      </c>
      <c r="G63" s="27">
        <f>SUM(G56:G62)</f>
        <v>0</v>
      </c>
      <c r="H63" s="27">
        <f>SUM(H56:H62)</f>
        <v>9819.8399999999983</v>
      </c>
      <c r="I63" s="27">
        <f>SUM(I56:I62)</f>
        <v>26186.239999999998</v>
      </c>
      <c r="J63" s="27">
        <f>SUM(J56:J62)</f>
        <v>199670.08000000002</v>
      </c>
    </row>
    <row r="64" spans="1:10">
      <c r="A64" s="23"/>
      <c r="B64" s="28" t="s">
        <v>113</v>
      </c>
      <c r="C64" s="82"/>
      <c r="D64" s="83"/>
      <c r="E64" s="82"/>
      <c r="F64" s="83">
        <f>F63</f>
        <v>163664</v>
      </c>
      <c r="G64" s="83">
        <f t="shared" ref="G64:J64" si="21">G63</f>
        <v>0</v>
      </c>
      <c r="H64" s="83">
        <f t="shared" si="21"/>
        <v>9819.8399999999983</v>
      </c>
      <c r="I64" s="83">
        <f t="shared" si="21"/>
        <v>26186.239999999998</v>
      </c>
      <c r="J64" s="37">
        <f t="shared" si="21"/>
        <v>199670.08000000002</v>
      </c>
    </row>
    <row r="65" spans="1:14">
      <c r="A65" s="23"/>
      <c r="B65" s="29"/>
      <c r="C65" s="20"/>
      <c r="D65" s="30"/>
      <c r="E65" s="20"/>
      <c r="F65" s="30"/>
      <c r="G65" s="30"/>
      <c r="H65" s="30"/>
      <c r="I65" s="30"/>
      <c r="J65" s="30"/>
    </row>
    <row r="66" spans="1:14">
      <c r="A66" s="431" t="s">
        <v>114</v>
      </c>
      <c r="B66" s="432"/>
      <c r="C66" s="7"/>
      <c r="D66" s="7"/>
      <c r="E66" s="7"/>
      <c r="F66" s="7"/>
      <c r="G66" s="7"/>
      <c r="H66" s="7"/>
      <c r="I66" s="7"/>
      <c r="J66" s="7"/>
    </row>
    <row r="67" spans="1:14">
      <c r="A67" s="66" t="s">
        <v>62</v>
      </c>
      <c r="B67" s="67" t="s">
        <v>13</v>
      </c>
      <c r="C67" s="68" t="s">
        <v>63</v>
      </c>
      <c r="D67" s="68" t="s">
        <v>64</v>
      </c>
      <c r="E67" s="68" t="s">
        <v>65</v>
      </c>
      <c r="F67" s="68" t="s">
        <v>66</v>
      </c>
      <c r="G67" s="68" t="s">
        <v>27</v>
      </c>
      <c r="H67" s="68" t="s">
        <v>68</v>
      </c>
      <c r="I67" s="68" t="s">
        <v>69</v>
      </c>
      <c r="J67" s="69" t="s">
        <v>70</v>
      </c>
    </row>
    <row r="68" spans="1:14" s="41" customFormat="1">
      <c r="A68" s="50"/>
      <c r="B68" s="42"/>
      <c r="C68" s="43"/>
      <c r="D68" s="63"/>
      <c r="E68" s="43"/>
      <c r="F68" s="63"/>
      <c r="G68" s="63"/>
      <c r="H68" s="63"/>
      <c r="I68" s="63"/>
      <c r="J68" s="64"/>
    </row>
    <row r="69" spans="1:14" s="41" customFormat="1">
      <c r="A69" s="50"/>
      <c r="B69" s="42"/>
      <c r="C69" s="43"/>
      <c r="D69" s="63"/>
      <c r="E69" s="43"/>
      <c r="F69" s="63"/>
      <c r="G69" s="63"/>
      <c r="H69" s="63"/>
      <c r="I69" s="63"/>
      <c r="J69" s="64"/>
    </row>
    <row r="70" spans="1:14" s="41" customFormat="1">
      <c r="A70" s="13"/>
      <c r="B70" s="14"/>
      <c r="C70" s="15"/>
      <c r="D70" s="33"/>
      <c r="E70" s="15"/>
      <c r="F70" s="33">
        <f t="shared" ref="F70" si="22">E70+D70+C70</f>
        <v>0</v>
      </c>
      <c r="G70" s="33"/>
      <c r="H70" s="33"/>
      <c r="I70" s="33">
        <f t="shared" ref="I70" si="23">F70*16%</f>
        <v>0</v>
      </c>
      <c r="J70" s="34">
        <f t="shared" ref="J70" si="24">I70+H70+G70+F70</f>
        <v>0</v>
      </c>
    </row>
    <row r="71" spans="1:14">
      <c r="A71" s="18"/>
      <c r="B71" s="19" t="s">
        <v>78</v>
      </c>
      <c r="C71" s="20"/>
      <c r="D71" s="21"/>
      <c r="E71" s="20"/>
      <c r="F71" s="22">
        <f>SUM(F68:F70)</f>
        <v>0</v>
      </c>
      <c r="G71" s="22">
        <f>SUM(G68:G70)</f>
        <v>0</v>
      </c>
      <c r="H71" s="22">
        <f>SUM(H68:H70)</f>
        <v>0</v>
      </c>
      <c r="I71" s="22">
        <f>SUM(I68:I70)</f>
        <v>0</v>
      </c>
      <c r="J71" s="22">
        <f>SUM(J68:J70)</f>
        <v>0</v>
      </c>
    </row>
    <row r="72" spans="1:14">
      <c r="A72" s="23"/>
      <c r="B72" s="28" t="s">
        <v>173</v>
      </c>
      <c r="C72" s="82"/>
      <c r="D72" s="83"/>
      <c r="E72" s="82"/>
      <c r="F72" s="83">
        <f>SUM(F71)</f>
        <v>0</v>
      </c>
      <c r="G72" s="83">
        <f t="shared" ref="G72:J72" si="25">SUM(G71)</f>
        <v>0</v>
      </c>
      <c r="H72" s="83">
        <f t="shared" si="25"/>
        <v>0</v>
      </c>
      <c r="I72" s="83">
        <f t="shared" si="25"/>
        <v>0</v>
      </c>
      <c r="J72" s="83">
        <f t="shared" si="25"/>
        <v>0</v>
      </c>
    </row>
    <row r="73" spans="1:14">
      <c r="A73" s="23"/>
      <c r="B73" s="29"/>
      <c r="C73" s="20"/>
      <c r="D73" s="30"/>
      <c r="E73" s="20"/>
      <c r="F73" s="30"/>
      <c r="G73" s="30"/>
      <c r="H73" s="30"/>
      <c r="I73" s="30"/>
      <c r="J73" s="30"/>
      <c r="N73" t="s">
        <v>116</v>
      </c>
    </row>
    <row r="74" spans="1:14">
      <c r="A74" s="431" t="s">
        <v>117</v>
      </c>
      <c r="B74" s="432"/>
      <c r="C74" s="7"/>
      <c r="D74" s="7"/>
      <c r="E74" s="7"/>
      <c r="F74" s="7"/>
      <c r="G74" s="7"/>
      <c r="H74" s="7"/>
      <c r="I74" s="7"/>
      <c r="J74" s="7"/>
    </row>
    <row r="75" spans="1:14">
      <c r="A75" s="78" t="s">
        <v>62</v>
      </c>
      <c r="B75" s="79" t="s">
        <v>13</v>
      </c>
      <c r="C75" s="80" t="s">
        <v>63</v>
      </c>
      <c r="D75" s="80" t="s">
        <v>64</v>
      </c>
      <c r="E75" s="80" t="s">
        <v>65</v>
      </c>
      <c r="F75" s="80" t="s">
        <v>66</v>
      </c>
      <c r="G75" s="80" t="s">
        <v>27</v>
      </c>
      <c r="H75" s="80" t="s">
        <v>68</v>
      </c>
      <c r="I75" s="80" t="s">
        <v>69</v>
      </c>
      <c r="J75" s="8" t="s">
        <v>70</v>
      </c>
      <c r="N75" t="s">
        <v>116</v>
      </c>
    </row>
    <row r="76" spans="1:14" s="41" customFormat="1" ht="24.75">
      <c r="A76" s="427" t="s">
        <v>74</v>
      </c>
      <c r="B76" s="70" t="s">
        <v>118</v>
      </c>
      <c r="C76" s="72">
        <v>410</v>
      </c>
      <c r="D76" s="71">
        <f>7*20</f>
        <v>140</v>
      </c>
      <c r="E76" s="72">
        <v>0</v>
      </c>
      <c r="F76" s="71">
        <f t="shared" ref="F76:F84" si="26">SUM(C76*D76*E76)</f>
        <v>0</v>
      </c>
      <c r="G76" s="71"/>
      <c r="H76" s="71"/>
      <c r="I76" s="71">
        <f>F76*16%</f>
        <v>0</v>
      </c>
      <c r="J76" s="73">
        <f>I76+H76+G76+F76</f>
        <v>0</v>
      </c>
    </row>
    <row r="77" spans="1:14" s="41" customFormat="1" ht="49.5">
      <c r="A77" s="428"/>
      <c r="B77" s="132" t="s">
        <v>388</v>
      </c>
      <c r="C77" s="10">
        <v>1</v>
      </c>
      <c r="D77" s="31">
        <f>2500*20</f>
        <v>50000</v>
      </c>
      <c r="E77" s="10">
        <v>0</v>
      </c>
      <c r="F77" s="31">
        <f>SUM(C77*D77*E77)</f>
        <v>0</v>
      </c>
      <c r="G77" s="31"/>
      <c r="H77" s="31"/>
      <c r="I77" s="31">
        <f>F77*16%</f>
        <v>0</v>
      </c>
      <c r="J77" s="32">
        <f>I77+H77+G77+F77</f>
        <v>0</v>
      </c>
    </row>
    <row r="78" spans="1:14" s="41" customFormat="1" ht="61.5" customHeight="1">
      <c r="A78" s="428"/>
      <c r="B78" s="132" t="s">
        <v>389</v>
      </c>
      <c r="C78" s="10">
        <v>1</v>
      </c>
      <c r="D78" s="31">
        <v>0</v>
      </c>
      <c r="E78" s="10">
        <v>0</v>
      </c>
      <c r="F78" s="31">
        <f t="shared" ref="F78:F81" si="27">SUM(C78*D78*E78)</f>
        <v>0</v>
      </c>
      <c r="G78" s="31"/>
      <c r="H78" s="31"/>
      <c r="I78" s="31">
        <f t="shared" ref="I78:I81" si="28">F78*16%</f>
        <v>0</v>
      </c>
      <c r="J78" s="32">
        <f t="shared" ref="J78:J81" si="29">I78+H78+G78+F78</f>
        <v>0</v>
      </c>
    </row>
    <row r="79" spans="1:14" s="41" customFormat="1" ht="36.75">
      <c r="A79" s="428"/>
      <c r="B79" s="132" t="s">
        <v>390</v>
      </c>
      <c r="C79" s="10">
        <v>1</v>
      </c>
      <c r="D79" s="31">
        <f>1200*20</f>
        <v>24000</v>
      </c>
      <c r="E79" s="10">
        <v>0</v>
      </c>
      <c r="F79" s="31">
        <f t="shared" si="27"/>
        <v>0</v>
      </c>
      <c r="G79" s="31"/>
      <c r="H79" s="31"/>
      <c r="I79" s="31">
        <f t="shared" si="28"/>
        <v>0</v>
      </c>
      <c r="J79" s="32">
        <f t="shared" si="29"/>
        <v>0</v>
      </c>
    </row>
    <row r="80" spans="1:14" s="41" customFormat="1" ht="24.75">
      <c r="A80" s="428"/>
      <c r="B80" s="132" t="s">
        <v>391</v>
      </c>
      <c r="C80" s="10"/>
      <c r="D80" s="31"/>
      <c r="E80" s="10"/>
      <c r="F80" s="31"/>
      <c r="G80" s="31"/>
      <c r="H80" s="31"/>
      <c r="I80" s="31"/>
      <c r="J80" s="32"/>
    </row>
    <row r="81" spans="1:10" s="41" customFormat="1" ht="49.5">
      <c r="A81" s="429"/>
      <c r="B81" s="132" t="s">
        <v>392</v>
      </c>
      <c r="C81" s="10">
        <v>1</v>
      </c>
      <c r="D81" s="31">
        <f>1000000*20</f>
        <v>20000000</v>
      </c>
      <c r="E81" s="10">
        <v>0</v>
      </c>
      <c r="F81" s="31">
        <f t="shared" si="27"/>
        <v>0</v>
      </c>
      <c r="G81" s="31"/>
      <c r="H81" s="31"/>
      <c r="I81" s="31">
        <f t="shared" si="28"/>
        <v>0</v>
      </c>
      <c r="J81" s="32">
        <f t="shared" si="29"/>
        <v>0</v>
      </c>
    </row>
    <row r="82" spans="1:10" s="41" customFormat="1" ht="43.5" customHeight="1">
      <c r="A82" s="93" t="s">
        <v>71</v>
      </c>
      <c r="B82" s="127" t="s">
        <v>393</v>
      </c>
      <c r="C82" s="94">
        <v>1</v>
      </c>
      <c r="D82" s="95">
        <v>0</v>
      </c>
      <c r="E82" s="94">
        <v>1</v>
      </c>
      <c r="F82" s="96">
        <f t="shared" si="26"/>
        <v>0</v>
      </c>
      <c r="G82" s="96"/>
      <c r="H82" s="96"/>
      <c r="I82" s="96">
        <f t="shared" ref="I82:I84" si="30">F82*16%</f>
        <v>0</v>
      </c>
      <c r="J82" s="97">
        <f t="shared" ref="J82:J84" si="31">I82+H82+G82+F82</f>
        <v>0</v>
      </c>
    </row>
    <row r="83" spans="1:10" s="41" customFormat="1" ht="32.25" customHeight="1">
      <c r="A83" s="91" t="s">
        <v>125</v>
      </c>
      <c r="B83" s="141" t="s">
        <v>394</v>
      </c>
      <c r="C83" s="52">
        <v>1</v>
      </c>
      <c r="D83" s="54">
        <v>0</v>
      </c>
      <c r="E83" s="52">
        <v>1</v>
      </c>
      <c r="F83" s="53">
        <f t="shared" si="26"/>
        <v>0</v>
      </c>
      <c r="G83" s="53"/>
      <c r="H83" s="53"/>
      <c r="I83" s="53">
        <f t="shared" si="30"/>
        <v>0</v>
      </c>
      <c r="J83" s="55">
        <f t="shared" si="31"/>
        <v>0</v>
      </c>
    </row>
    <row r="84" spans="1:10" s="41" customFormat="1" ht="47.25" customHeight="1">
      <c r="A84" s="275" t="s">
        <v>127</v>
      </c>
      <c r="B84" s="142" t="s">
        <v>395</v>
      </c>
      <c r="C84" s="143">
        <v>7</v>
      </c>
      <c r="D84" s="144">
        <v>0</v>
      </c>
      <c r="E84" s="143">
        <v>3</v>
      </c>
      <c r="F84" s="145">
        <f t="shared" si="26"/>
        <v>0</v>
      </c>
      <c r="G84" s="145"/>
      <c r="H84" s="145"/>
      <c r="I84" s="145">
        <f t="shared" si="30"/>
        <v>0</v>
      </c>
      <c r="J84" s="146">
        <f t="shared" si="31"/>
        <v>0</v>
      </c>
    </row>
    <row r="85" spans="1:10">
      <c r="A85" s="18"/>
      <c r="B85" s="19" t="s">
        <v>78</v>
      </c>
      <c r="C85" s="20"/>
      <c r="D85" s="21"/>
      <c r="E85" s="20"/>
      <c r="F85" s="38">
        <f>SUM(F76:F84)</f>
        <v>0</v>
      </c>
      <c r="G85" s="38">
        <f>SUM(G76:G84)</f>
        <v>0</v>
      </c>
      <c r="H85" s="38">
        <f>SUM(H76:H84)</f>
        <v>0</v>
      </c>
      <c r="I85" s="38">
        <f>SUM(I76:I84)</f>
        <v>0</v>
      </c>
      <c r="J85" s="38">
        <f>SUM(J76:J84)</f>
        <v>0</v>
      </c>
    </row>
    <row r="86" spans="1:10">
      <c r="A86" s="23"/>
      <c r="B86" s="28" t="s">
        <v>135</v>
      </c>
      <c r="C86" s="82"/>
      <c r="D86" s="83"/>
      <c r="E86" s="82"/>
      <c r="F86" s="83">
        <f>F85</f>
        <v>0</v>
      </c>
      <c r="G86" s="83">
        <f>G85</f>
        <v>0</v>
      </c>
      <c r="H86" s="83">
        <f>H85</f>
        <v>0</v>
      </c>
      <c r="I86" s="83">
        <f>I85</f>
        <v>0</v>
      </c>
      <c r="J86" s="37">
        <f>J85</f>
        <v>0</v>
      </c>
    </row>
    <row r="87" spans="1:10">
      <c r="A87" s="23"/>
      <c r="B87" s="29"/>
      <c r="C87" s="20"/>
      <c r="D87" s="30"/>
      <c r="E87" s="20"/>
      <c r="F87" s="30"/>
      <c r="G87" s="30"/>
      <c r="H87" s="30"/>
      <c r="I87" s="30"/>
      <c r="J87" s="30"/>
    </row>
    <row r="88" spans="1:10">
      <c r="A88" s="431" t="s">
        <v>136</v>
      </c>
      <c r="B88" s="432"/>
      <c r="C88" s="7"/>
      <c r="D88" s="7"/>
      <c r="E88" s="7"/>
      <c r="F88" s="7"/>
      <c r="G88" s="7"/>
      <c r="H88" s="7"/>
      <c r="I88" s="7"/>
      <c r="J88" s="7"/>
    </row>
    <row r="89" spans="1:10">
      <c r="A89" s="78" t="s">
        <v>62</v>
      </c>
      <c r="B89" s="79" t="s">
        <v>13</v>
      </c>
      <c r="C89" s="80" t="s">
        <v>63</v>
      </c>
      <c r="D89" s="80" t="s">
        <v>64</v>
      </c>
      <c r="E89" s="80" t="s">
        <v>65</v>
      </c>
      <c r="F89" s="80" t="s">
        <v>66</v>
      </c>
      <c r="G89" s="80" t="s">
        <v>27</v>
      </c>
      <c r="H89" s="80" t="s">
        <v>68</v>
      </c>
      <c r="I89" s="80" t="s">
        <v>69</v>
      </c>
      <c r="J89" s="8" t="s">
        <v>70</v>
      </c>
    </row>
    <row r="90" spans="1:10" s="41" customFormat="1" ht="24.75">
      <c r="A90" s="434" t="s">
        <v>137</v>
      </c>
      <c r="B90" s="70" t="s">
        <v>138</v>
      </c>
      <c r="C90" s="72">
        <v>4</v>
      </c>
      <c r="D90" s="74">
        <f>740*20</f>
        <v>14800</v>
      </c>
      <c r="E90" s="72">
        <v>5</v>
      </c>
      <c r="F90" s="74">
        <f>SUM(C90*D90*E90)</f>
        <v>296000</v>
      </c>
      <c r="G90" s="74">
        <f>0*C90*E90</f>
        <v>0</v>
      </c>
      <c r="H90" s="74">
        <f>0*C90*E90</f>
        <v>0</v>
      </c>
      <c r="I90" s="74">
        <f>F90*16%</f>
        <v>47360</v>
      </c>
      <c r="J90" s="81">
        <f t="shared" ref="J90:J91" si="32">I90+H90+G90+F90</f>
        <v>343360</v>
      </c>
    </row>
    <row r="91" spans="1:10" s="41" customFormat="1" ht="24.75">
      <c r="A91" s="435"/>
      <c r="B91" s="70" t="s">
        <v>139</v>
      </c>
      <c r="C91" s="72">
        <v>1</v>
      </c>
      <c r="D91" s="74">
        <f>740*20</f>
        <v>14800</v>
      </c>
      <c r="E91" s="72">
        <v>5</v>
      </c>
      <c r="F91" s="74">
        <f>SUM(C91*D91*E91)</f>
        <v>74000</v>
      </c>
      <c r="G91" s="74">
        <f>0*C91*E91</f>
        <v>0</v>
      </c>
      <c r="H91" s="74">
        <f>0*C91*E91</f>
        <v>0</v>
      </c>
      <c r="I91" s="74">
        <f>F91*16%</f>
        <v>11840</v>
      </c>
      <c r="J91" s="81">
        <f t="shared" si="32"/>
        <v>85840</v>
      </c>
    </row>
    <row r="92" spans="1:10" s="41" customFormat="1">
      <c r="A92" s="435"/>
      <c r="B92" s="500" t="s">
        <v>396</v>
      </c>
      <c r="C92" s="501">
        <v>10</v>
      </c>
      <c r="D92" s="502">
        <v>15511</v>
      </c>
      <c r="E92" s="501">
        <v>1</v>
      </c>
      <c r="F92" s="502">
        <f t="shared" ref="F92:F94" si="33">SUM(C92*D92*E92)</f>
        <v>155110</v>
      </c>
      <c r="G92" s="502" t="s">
        <v>116</v>
      </c>
      <c r="H92" s="502">
        <f>4975*C92</f>
        <v>49750</v>
      </c>
      <c r="I92" s="502">
        <f>621*C92</f>
        <v>6210</v>
      </c>
      <c r="J92" s="175">
        <f>SUM(F92:I92)</f>
        <v>211070</v>
      </c>
    </row>
    <row r="93" spans="1:10" s="41" customFormat="1">
      <c r="A93" s="437"/>
      <c r="B93" s="503" t="s">
        <v>141</v>
      </c>
      <c r="C93" s="504">
        <v>10</v>
      </c>
      <c r="D93" s="505">
        <v>230</v>
      </c>
      <c r="E93" s="504">
        <v>1</v>
      </c>
      <c r="F93" s="505">
        <f>C93*D93</f>
        <v>2300</v>
      </c>
      <c r="G93" s="505">
        <v>0</v>
      </c>
      <c r="H93" s="505">
        <v>0</v>
      </c>
      <c r="I93" s="505">
        <f>F93*16%</f>
        <v>368</v>
      </c>
      <c r="J93" s="506">
        <f>SUM(F93:I93)</f>
        <v>2668</v>
      </c>
    </row>
    <row r="94" spans="1:10" s="41" customFormat="1" ht="19.899999999999999" customHeight="1">
      <c r="A94" s="436"/>
      <c r="B94" s="14" t="s">
        <v>142</v>
      </c>
      <c r="C94" s="15">
        <v>10</v>
      </c>
      <c r="D94" s="16">
        <v>1500</v>
      </c>
      <c r="E94" s="15">
        <v>5</v>
      </c>
      <c r="F94" s="16">
        <f t="shared" si="33"/>
        <v>75000</v>
      </c>
      <c r="G94" s="16">
        <v>0</v>
      </c>
      <c r="H94" s="16">
        <v>0</v>
      </c>
      <c r="I94" s="16">
        <f t="shared" ref="I92:I94" si="34">(F94*16%)+(G94*16%)+(H94*16%)</f>
        <v>12000</v>
      </c>
      <c r="J94" s="17">
        <f t="shared" ref="J92:J94" si="35">I94+H94+G94+F94</f>
        <v>87000</v>
      </c>
    </row>
    <row r="95" spans="1:10">
      <c r="A95" s="18"/>
      <c r="B95" s="19" t="s">
        <v>78</v>
      </c>
      <c r="C95" s="35"/>
      <c r="D95" s="36"/>
      <c r="E95" s="35"/>
      <c r="F95" s="65">
        <f>SUM(F90:F94)</f>
        <v>602410</v>
      </c>
      <c r="G95" s="65">
        <f>SUM(G90:G94)</f>
        <v>0</v>
      </c>
      <c r="H95" s="65">
        <f t="shared" ref="H95:J95" si="36">SUM(H90:H94)</f>
        <v>49750</v>
      </c>
      <c r="I95" s="65">
        <f t="shared" si="36"/>
        <v>77778</v>
      </c>
      <c r="J95" s="65">
        <f t="shared" si="36"/>
        <v>729938</v>
      </c>
    </row>
    <row r="96" spans="1:10" ht="25.5">
      <c r="A96" s="23"/>
      <c r="B96" s="28" t="s">
        <v>143</v>
      </c>
      <c r="C96" s="82"/>
      <c r="D96" s="83"/>
      <c r="E96" s="82"/>
      <c r="F96" s="83">
        <f>F95</f>
        <v>602410</v>
      </c>
      <c r="G96" s="83">
        <f>G95</f>
        <v>0</v>
      </c>
      <c r="H96" s="83">
        <f>H95</f>
        <v>49750</v>
      </c>
      <c r="I96" s="83">
        <f>I95</f>
        <v>77778</v>
      </c>
      <c r="J96" s="83">
        <f>J95</f>
        <v>729938</v>
      </c>
    </row>
    <row r="97" spans="1:10">
      <c r="A97" s="23"/>
      <c r="B97" s="24"/>
      <c r="C97" s="25"/>
      <c r="D97" s="26"/>
      <c r="E97" s="25"/>
      <c r="F97" s="26"/>
      <c r="G97" s="26"/>
      <c r="H97" s="26"/>
      <c r="I97" s="26"/>
      <c r="J97" s="26"/>
    </row>
    <row r="98" spans="1:10" ht="22.5">
      <c r="A98" s="430" t="s">
        <v>1</v>
      </c>
      <c r="B98" s="430"/>
      <c r="C98" s="430"/>
      <c r="D98" s="430"/>
      <c r="E98" s="430"/>
      <c r="F98" s="26"/>
      <c r="G98" s="26"/>
      <c r="H98" s="26"/>
      <c r="I98" s="26"/>
      <c r="J98" s="26"/>
    </row>
    <row r="99" spans="1:10">
      <c r="A99" s="39"/>
      <c r="B99" s="85"/>
      <c r="C99" s="82"/>
      <c r="D99" s="83"/>
      <c r="E99" s="86" t="s">
        <v>144</v>
      </c>
      <c r="F99" s="83">
        <f>F25</f>
        <v>10483400</v>
      </c>
      <c r="G99" s="83">
        <f>G25</f>
        <v>142.16999999999999</v>
      </c>
      <c r="H99" s="83">
        <f>H25</f>
        <v>185</v>
      </c>
      <c r="I99" s="83">
        <f>I25</f>
        <v>1620564.3472</v>
      </c>
      <c r="J99" s="83">
        <f>SUM(F99:I99)</f>
        <v>12104291.517200001</v>
      </c>
    </row>
    <row r="100" spans="1:10">
      <c r="A100" s="39"/>
      <c r="B100" s="85"/>
      <c r="C100" s="82"/>
      <c r="D100" s="83"/>
      <c r="E100" s="86" t="s">
        <v>145</v>
      </c>
      <c r="F100" s="83">
        <f>F51</f>
        <v>419840</v>
      </c>
      <c r="G100" s="83">
        <f>G51</f>
        <v>0</v>
      </c>
      <c r="H100" s="83">
        <f>H51</f>
        <v>0</v>
      </c>
      <c r="I100" s="83">
        <f>I51</f>
        <v>67174.399999999994</v>
      </c>
      <c r="J100" s="83">
        <f>SUM(F100:I100)</f>
        <v>487014.40000000002</v>
      </c>
    </row>
    <row r="101" spans="1:10">
      <c r="A101" s="39"/>
      <c r="B101" s="85"/>
      <c r="C101" s="82"/>
      <c r="D101" s="83"/>
      <c r="E101" s="86" t="s">
        <v>146</v>
      </c>
      <c r="F101" s="83">
        <f>F64</f>
        <v>163664</v>
      </c>
      <c r="G101" s="83">
        <f>G64</f>
        <v>0</v>
      </c>
      <c r="H101" s="83">
        <f>H64</f>
        <v>9819.8399999999983</v>
      </c>
      <c r="I101" s="83">
        <f>I64</f>
        <v>26186.239999999998</v>
      </c>
      <c r="J101" s="83">
        <f>SUM(F101:I101)</f>
        <v>199670.08</v>
      </c>
    </row>
    <row r="102" spans="1:10">
      <c r="A102" s="39"/>
      <c r="B102" s="85"/>
      <c r="C102" s="82"/>
      <c r="D102" s="83"/>
      <c r="E102" s="86" t="str">
        <f>A66</f>
        <v>TELEMARKETING</v>
      </c>
      <c r="F102" s="83">
        <f>F72</f>
        <v>0</v>
      </c>
      <c r="G102" s="83">
        <f>G72</f>
        <v>0</v>
      </c>
      <c r="H102" s="83">
        <f>H72</f>
        <v>0</v>
      </c>
      <c r="I102" s="83">
        <f>I72</f>
        <v>0</v>
      </c>
      <c r="J102" s="83">
        <f>SUM(F102:I102)</f>
        <v>0</v>
      </c>
    </row>
    <row r="103" spans="1:10">
      <c r="A103" s="39"/>
      <c r="B103" s="85"/>
      <c r="C103" s="82"/>
      <c r="D103" s="83"/>
      <c r="E103" s="86" t="s">
        <v>30</v>
      </c>
      <c r="F103" s="83">
        <f>F86</f>
        <v>0</v>
      </c>
      <c r="G103" s="83">
        <f>G86</f>
        <v>0</v>
      </c>
      <c r="H103" s="83">
        <f>H86</f>
        <v>0</v>
      </c>
      <c r="I103" s="83">
        <f>I86</f>
        <v>0</v>
      </c>
      <c r="J103" s="83">
        <f>SUM(F103:I103)</f>
        <v>0</v>
      </c>
    </row>
    <row r="104" spans="1:10">
      <c r="A104" s="40"/>
      <c r="B104" s="87"/>
      <c r="C104" s="88"/>
      <c r="D104" s="89"/>
      <c r="E104" s="90" t="s">
        <v>147</v>
      </c>
      <c r="F104" s="89">
        <f>SUM(F99:F103)</f>
        <v>11066904</v>
      </c>
      <c r="G104" s="89">
        <f t="shared" ref="G104:I104" si="37">SUM(G99:G103)</f>
        <v>142.16999999999999</v>
      </c>
      <c r="H104" s="89">
        <f t="shared" si="37"/>
        <v>10004.839999999998</v>
      </c>
      <c r="I104" s="89">
        <f t="shared" si="37"/>
        <v>1713924.9871999999</v>
      </c>
      <c r="J104" s="89">
        <f>SUM(J99:J103)</f>
        <v>12790975.997200001</v>
      </c>
    </row>
    <row r="105" spans="1:10">
      <c r="A105" s="39"/>
      <c r="B105" s="85"/>
      <c r="C105" s="82"/>
      <c r="D105" s="83"/>
      <c r="E105" s="86" t="s">
        <v>148</v>
      </c>
      <c r="F105" s="83">
        <f>(F99+F100+F101+F102+F103)*6%</f>
        <v>664014.24</v>
      </c>
      <c r="G105" s="83"/>
      <c r="H105" s="83"/>
      <c r="I105" s="83">
        <f>F105*16%</f>
        <v>106242.2784</v>
      </c>
      <c r="J105" s="83">
        <f>SUM(F105:I105)</f>
        <v>770256.51839999994</v>
      </c>
    </row>
    <row r="106" spans="1:10">
      <c r="A106" s="39"/>
      <c r="B106" s="85"/>
      <c r="C106" s="82"/>
      <c r="D106" s="83"/>
      <c r="E106" s="86" t="s">
        <v>149</v>
      </c>
      <c r="F106" s="83">
        <f>F96</f>
        <v>602410</v>
      </c>
      <c r="G106" s="83">
        <f>G96</f>
        <v>0</v>
      </c>
      <c r="H106" s="83">
        <f>H96</f>
        <v>49750</v>
      </c>
      <c r="I106" s="83">
        <f>I96</f>
        <v>77778</v>
      </c>
      <c r="J106" s="83">
        <f>SUM(F106:I106)</f>
        <v>729938</v>
      </c>
    </row>
    <row r="107" spans="1:10">
      <c r="A107" s="40"/>
      <c r="B107" s="87"/>
      <c r="C107" s="88"/>
      <c r="D107" s="89"/>
      <c r="E107" s="90" t="s">
        <v>150</v>
      </c>
      <c r="F107" s="89">
        <f>SUM(F104:F106)</f>
        <v>12333328.24</v>
      </c>
      <c r="G107" s="89">
        <f>SUM(G104:G106)</f>
        <v>142.16999999999999</v>
      </c>
      <c r="H107" s="89">
        <f>SUM(H104:H106)</f>
        <v>59754.84</v>
      </c>
      <c r="I107" s="89">
        <f>SUM(I104:I106)</f>
        <v>1897945.2655999998</v>
      </c>
      <c r="J107" s="89">
        <f>SUM(J104:J106)</f>
        <v>14291170.515600001</v>
      </c>
    </row>
    <row r="109" spans="1:10">
      <c r="A109" s="98" t="s">
        <v>192</v>
      </c>
    </row>
    <row r="110" spans="1:10">
      <c r="A110" s="98" t="s">
        <v>151</v>
      </c>
    </row>
  </sheetData>
  <mergeCells count="25">
    <mergeCell ref="B11:J11"/>
    <mergeCell ref="A1:J5"/>
    <mergeCell ref="B7:J7"/>
    <mergeCell ref="B8:J8"/>
    <mergeCell ref="B9:J9"/>
    <mergeCell ref="B10:J10"/>
    <mergeCell ref="A44:A48"/>
    <mergeCell ref="A54:B54"/>
    <mergeCell ref="A56:A62"/>
    <mergeCell ref="A66:B66"/>
    <mergeCell ref="B12:J12"/>
    <mergeCell ref="B13:J13"/>
    <mergeCell ref="F14:G14"/>
    <mergeCell ref="H14:J14"/>
    <mergeCell ref="A17:B17"/>
    <mergeCell ref="A28:B28"/>
    <mergeCell ref="A30:A31"/>
    <mergeCell ref="A32:A37"/>
    <mergeCell ref="A38:A43"/>
    <mergeCell ref="A20:A22"/>
    <mergeCell ref="A88:B88"/>
    <mergeCell ref="A90:A94"/>
    <mergeCell ref="A98:E98"/>
    <mergeCell ref="A76:A81"/>
    <mergeCell ref="A74:B7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19F3-16AD-4543-8EDB-B8EEB227AE6A}">
  <sheetPr filterMode="1"/>
  <dimension ref="A1:BF75"/>
  <sheetViews>
    <sheetView workbookViewId="0"/>
  </sheetViews>
  <sheetFormatPr defaultRowHeight="13.9"/>
  <cols>
    <col min="1" max="1" width="2.7109375" style="280" customWidth="1"/>
    <col min="2" max="2" width="4.28515625" style="283" customWidth="1"/>
    <col min="3" max="3" width="14.28515625" style="280" customWidth="1"/>
    <col min="4" max="4" width="16.5703125" style="280" customWidth="1"/>
    <col min="5" max="5" width="18.5703125" style="280" customWidth="1"/>
    <col min="6" max="6" width="15.28515625" style="280" bestFit="1" customWidth="1"/>
    <col min="7" max="7" width="51.5703125" style="280" customWidth="1"/>
    <col min="8" max="8" width="10.85546875" style="280" customWidth="1"/>
    <col min="9" max="9" width="14.28515625" style="280" customWidth="1"/>
    <col min="10" max="10" width="11" style="280" customWidth="1"/>
    <col min="11" max="11" width="10" style="280" customWidth="1"/>
    <col min="12" max="12" width="11.140625" style="280" customWidth="1"/>
    <col min="13" max="13" width="13.42578125" style="280" customWidth="1"/>
    <col min="14" max="14" width="11.7109375" style="280" customWidth="1"/>
    <col min="15" max="15" width="10.7109375" style="280" bestFit="1" customWidth="1"/>
    <col min="16" max="16" width="12.28515625" style="280" customWidth="1"/>
    <col min="17" max="17" width="9.28515625" style="280" bestFit="1" customWidth="1"/>
    <col min="18" max="18" width="12.7109375" style="280" bestFit="1" customWidth="1"/>
    <col min="19" max="19" width="9.28515625" style="280" bestFit="1" customWidth="1"/>
    <col min="20" max="20" width="9.85546875" style="280" bestFit="1" customWidth="1"/>
    <col min="21" max="22" width="9.28515625" style="280" bestFit="1" customWidth="1"/>
    <col min="23" max="23" width="12.7109375" style="280" bestFit="1" customWidth="1"/>
    <col min="24" max="24" width="10.7109375" style="280" bestFit="1" customWidth="1"/>
    <col min="25" max="25" width="9.85546875" style="280" bestFit="1" customWidth="1"/>
    <col min="26" max="27" width="9.28515625" style="280" bestFit="1" customWidth="1"/>
    <col min="28" max="28" width="13.42578125" style="280" bestFit="1" customWidth="1"/>
    <col min="29" max="29" width="14.42578125" style="280" bestFit="1" customWidth="1"/>
    <col min="30" max="30" width="15.7109375" style="280" bestFit="1" customWidth="1"/>
    <col min="31" max="31" width="12.5703125" style="280" bestFit="1" customWidth="1"/>
    <col min="32" max="33" width="11.28515625" style="280" customWidth="1"/>
    <col min="34" max="34" width="14.5703125" style="280" bestFit="1" customWidth="1"/>
    <col min="35" max="37" width="11.28515625" style="280" customWidth="1"/>
    <col min="38" max="38" width="44.7109375" style="280" bestFit="1" customWidth="1"/>
    <col min="39" max="39" width="10.7109375" style="280" customWidth="1"/>
    <col min="40" max="40" width="9.7109375" style="280" customWidth="1"/>
    <col min="41" max="41" width="16" style="280" bestFit="1" customWidth="1"/>
    <col min="42" max="42" width="15.28515625" style="280" bestFit="1" customWidth="1"/>
    <col min="43" max="43" width="15.5703125" style="280" bestFit="1" customWidth="1"/>
    <col min="44" max="44" width="17" style="280" bestFit="1" customWidth="1"/>
    <col min="45" max="45" width="14" style="280" bestFit="1" customWidth="1"/>
    <col min="46" max="46" width="13.28515625" style="280" bestFit="1" customWidth="1"/>
    <col min="47" max="47" width="17" style="280" bestFit="1" customWidth="1"/>
    <col min="48" max="48" width="17.5703125" style="280" customWidth="1"/>
    <col min="49" max="49" width="13.7109375" style="280" bestFit="1" customWidth="1"/>
    <col min="50" max="51" width="12.5703125" style="280" bestFit="1" customWidth="1"/>
    <col min="52" max="52" width="14.28515625" style="280" customWidth="1"/>
    <col min="53" max="53" width="12" style="280" customWidth="1"/>
    <col min="54" max="54" width="13" style="280" customWidth="1"/>
    <col min="55" max="56" width="9.28515625" style="280" bestFit="1" customWidth="1"/>
    <col min="57" max="57" width="12.7109375" style="280" customWidth="1"/>
    <col min="58" max="16384" width="9.140625" style="280"/>
  </cols>
  <sheetData>
    <row r="1" spans="1:52" ht="23.25">
      <c r="B1" s="485" t="s">
        <v>397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 s="485"/>
      <c r="AV1" s="284"/>
      <c r="AW1" s="284"/>
      <c r="AX1" s="284"/>
      <c r="AY1" s="284"/>
      <c r="AZ1" s="284"/>
    </row>
    <row r="2" spans="1:52" ht="23.25">
      <c r="B2" s="485" t="s">
        <v>398</v>
      </c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284"/>
      <c r="AW2" s="284"/>
      <c r="AX2" s="284"/>
      <c r="AY2" s="284"/>
      <c r="AZ2" s="284"/>
    </row>
    <row r="3" spans="1:52" ht="12.75">
      <c r="A3" s="283"/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6"/>
      <c r="AE3" s="486"/>
      <c r="AF3" s="486"/>
      <c r="AG3" s="486"/>
      <c r="AH3" s="486"/>
      <c r="AI3" s="486"/>
      <c r="AJ3" s="486"/>
      <c r="AK3" s="486"/>
      <c r="AL3" s="486"/>
      <c r="AM3" s="486"/>
      <c r="AN3" s="486"/>
      <c r="AO3" s="486"/>
      <c r="AP3" s="486"/>
      <c r="AQ3" s="486"/>
      <c r="AR3" s="486"/>
      <c r="AS3" s="486"/>
      <c r="AT3" s="486"/>
      <c r="AU3" s="486"/>
      <c r="AV3" s="284"/>
      <c r="AW3" s="284"/>
      <c r="AX3" s="284"/>
      <c r="AY3" s="284"/>
      <c r="AZ3" s="284"/>
    </row>
    <row r="4" spans="1:52" ht="12.75">
      <c r="B4" s="286"/>
      <c r="AT4" s="287"/>
    </row>
    <row r="5" spans="1:52" ht="12.75">
      <c r="B5" s="286"/>
      <c r="AT5" s="287"/>
    </row>
    <row r="6" spans="1:52" ht="12.75" customHeight="1">
      <c r="B6" s="286"/>
      <c r="C6" s="487" t="s">
        <v>399</v>
      </c>
      <c r="D6" s="488"/>
      <c r="E6" s="488"/>
      <c r="F6" s="489"/>
      <c r="AT6" s="287"/>
    </row>
    <row r="7" spans="1:52" ht="12.75" customHeight="1">
      <c r="B7" s="286"/>
      <c r="C7" s="280" t="s">
        <v>400</v>
      </c>
      <c r="D7" s="280" t="s">
        <v>400</v>
      </c>
      <c r="H7" s="490" t="s">
        <v>401</v>
      </c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2"/>
      <c r="W7" s="490" t="s">
        <v>402</v>
      </c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2"/>
      <c r="AT7" s="287"/>
    </row>
    <row r="8" spans="1:52" ht="27">
      <c r="B8" s="289" t="s">
        <v>403</v>
      </c>
      <c r="C8" s="290" t="s">
        <v>404</v>
      </c>
      <c r="D8" s="290" t="s">
        <v>405</v>
      </c>
      <c r="E8" s="290" t="s">
        <v>406</v>
      </c>
      <c r="F8" s="290" t="s">
        <v>407</v>
      </c>
      <c r="G8" s="290" t="s">
        <v>408</v>
      </c>
      <c r="H8" s="290" t="s">
        <v>409</v>
      </c>
      <c r="I8" s="290" t="s">
        <v>410</v>
      </c>
      <c r="J8" s="290" t="s">
        <v>411</v>
      </c>
      <c r="K8" s="290" t="s">
        <v>412</v>
      </c>
      <c r="L8" s="290" t="s">
        <v>413</v>
      </c>
      <c r="M8" s="290" t="s">
        <v>409</v>
      </c>
      <c r="N8" s="290" t="s">
        <v>410</v>
      </c>
      <c r="O8" s="290" t="s">
        <v>411</v>
      </c>
      <c r="P8" s="290" t="s">
        <v>412</v>
      </c>
      <c r="Q8" s="290" t="s">
        <v>413</v>
      </c>
      <c r="R8" s="290" t="s">
        <v>409</v>
      </c>
      <c r="S8" s="290" t="s">
        <v>410</v>
      </c>
      <c r="T8" s="290" t="s">
        <v>411</v>
      </c>
      <c r="U8" s="290" t="s">
        <v>412</v>
      </c>
      <c r="V8" s="290" t="s">
        <v>413</v>
      </c>
      <c r="W8" s="290" t="s">
        <v>409</v>
      </c>
      <c r="X8" s="290" t="s">
        <v>410</v>
      </c>
      <c r="Y8" s="290" t="s">
        <v>411</v>
      </c>
      <c r="Z8" s="290" t="s">
        <v>412</v>
      </c>
      <c r="AA8" s="290" t="s">
        <v>413</v>
      </c>
      <c r="AB8" s="290" t="s">
        <v>409</v>
      </c>
      <c r="AC8" s="290" t="s">
        <v>410</v>
      </c>
      <c r="AD8" s="290" t="s">
        <v>411</v>
      </c>
      <c r="AE8" s="290" t="s">
        <v>412</v>
      </c>
      <c r="AF8" s="290" t="s">
        <v>413</v>
      </c>
      <c r="AG8" s="290" t="s">
        <v>409</v>
      </c>
      <c r="AH8" s="290" t="s">
        <v>410</v>
      </c>
      <c r="AI8" s="290" t="s">
        <v>411</v>
      </c>
      <c r="AJ8" s="290" t="s">
        <v>412</v>
      </c>
      <c r="AK8" s="290" t="s">
        <v>413</v>
      </c>
      <c r="AL8" s="290" t="s">
        <v>414</v>
      </c>
      <c r="AM8" s="290" t="s">
        <v>415</v>
      </c>
      <c r="AN8" s="290" t="s">
        <v>416</v>
      </c>
      <c r="AO8" s="290" t="s">
        <v>417</v>
      </c>
      <c r="AP8" s="290" t="s">
        <v>418</v>
      </c>
      <c r="AQ8" s="290" t="s">
        <v>419</v>
      </c>
      <c r="AR8" s="290" t="s">
        <v>70</v>
      </c>
      <c r="AS8" s="290" t="s">
        <v>420</v>
      </c>
      <c r="AT8" s="290" t="s">
        <v>418</v>
      </c>
      <c r="AU8" s="291" t="s">
        <v>70</v>
      </c>
    </row>
    <row r="9" spans="1:52" s="281" customFormat="1" ht="12.75" hidden="1" customHeight="1">
      <c r="B9" s="292">
        <v>3</v>
      </c>
      <c r="C9" s="293"/>
      <c r="D9" s="294"/>
      <c r="E9" s="294"/>
      <c r="F9" s="295" t="s">
        <v>421</v>
      </c>
      <c r="G9" s="296" t="s">
        <v>422</v>
      </c>
      <c r="H9" s="297"/>
      <c r="I9" s="297"/>
      <c r="J9" s="297"/>
      <c r="K9" s="297"/>
      <c r="L9" s="297"/>
      <c r="M9" s="298">
        <v>46418</v>
      </c>
      <c r="N9" s="299" t="s">
        <v>423</v>
      </c>
      <c r="O9" s="299" t="s">
        <v>424</v>
      </c>
      <c r="P9" s="300">
        <v>0.8</v>
      </c>
      <c r="Q9" s="300">
        <v>0.85069444444444442</v>
      </c>
      <c r="R9" s="301">
        <v>46419</v>
      </c>
      <c r="S9" s="302" t="s">
        <v>425</v>
      </c>
      <c r="T9" s="303" t="s">
        <v>426</v>
      </c>
      <c r="U9" s="302">
        <v>0.375</v>
      </c>
      <c r="V9" s="302">
        <v>0.52916666666666667</v>
      </c>
      <c r="W9" s="304">
        <v>46422</v>
      </c>
      <c r="X9" s="305" t="s">
        <v>427</v>
      </c>
      <c r="Y9" s="305" t="s">
        <v>428</v>
      </c>
      <c r="Z9" s="305">
        <v>0.59166666666666667</v>
      </c>
      <c r="AA9" s="305">
        <v>0.65972222222222221</v>
      </c>
      <c r="AB9" s="304">
        <v>46422</v>
      </c>
      <c r="AC9" s="306" t="s">
        <v>429</v>
      </c>
      <c r="AD9" s="306" t="s">
        <v>430</v>
      </c>
      <c r="AE9" s="307">
        <v>0.70833333333333337</v>
      </c>
      <c r="AF9" s="307">
        <v>0.75694444444444442</v>
      </c>
      <c r="AG9" s="307"/>
      <c r="AH9" s="308"/>
      <c r="AI9" s="308"/>
      <c r="AJ9" s="308"/>
      <c r="AK9" s="308"/>
      <c r="AL9" s="309" t="s">
        <v>431</v>
      </c>
      <c r="AM9" s="310"/>
      <c r="AN9" s="310"/>
      <c r="AO9" s="309">
        <f>SUM(6846)*B9</f>
        <v>20538</v>
      </c>
      <c r="AP9" s="309">
        <f>SUM(1096)*B9</f>
        <v>3288</v>
      </c>
      <c r="AQ9" s="309">
        <f>SUM(2459+1900)*B9</f>
        <v>13077</v>
      </c>
      <c r="AR9" s="309">
        <f>AO9+AP9+AQ9</f>
        <v>36903</v>
      </c>
      <c r="AS9" s="309">
        <f>230*B9</f>
        <v>690</v>
      </c>
      <c r="AT9" s="309">
        <f>AS9*16%</f>
        <v>110.4</v>
      </c>
      <c r="AU9" s="311">
        <f>AR9+AS9+AT9</f>
        <v>37703.4</v>
      </c>
    </row>
    <row r="10" spans="1:52" s="281" customFormat="1" ht="12.75" hidden="1" customHeight="1">
      <c r="B10" s="292">
        <v>3</v>
      </c>
      <c r="C10" s="293"/>
      <c r="D10" s="294"/>
      <c r="E10" s="294"/>
      <c r="F10" s="312" t="s">
        <v>432</v>
      </c>
      <c r="G10" s="296"/>
      <c r="H10" s="297"/>
      <c r="I10" s="297"/>
      <c r="J10" s="297"/>
      <c r="K10" s="297"/>
      <c r="L10" s="297"/>
      <c r="M10" s="301">
        <v>46419</v>
      </c>
      <c r="N10" s="303" t="s">
        <v>433</v>
      </c>
      <c r="O10" s="303" t="s">
        <v>434</v>
      </c>
      <c r="P10" s="302">
        <v>0.26041666666666669</v>
      </c>
      <c r="Q10" s="302">
        <v>0.31597222222222221</v>
      </c>
      <c r="R10" s="301">
        <v>46419</v>
      </c>
      <c r="S10" s="302" t="s">
        <v>425</v>
      </c>
      <c r="T10" s="303" t="s">
        <v>426</v>
      </c>
      <c r="U10" s="302">
        <v>0.375</v>
      </c>
      <c r="V10" s="302">
        <v>0.52916666666666667</v>
      </c>
      <c r="W10" s="304">
        <v>46422</v>
      </c>
      <c r="X10" s="305" t="s">
        <v>435</v>
      </c>
      <c r="Y10" s="305" t="s">
        <v>436</v>
      </c>
      <c r="Z10" s="305">
        <v>0.69166666666666665</v>
      </c>
      <c r="AA10" s="305">
        <v>0.76041666666666663</v>
      </c>
      <c r="AB10" s="313"/>
      <c r="AC10" s="314"/>
      <c r="AD10" s="314"/>
      <c r="AE10" s="305"/>
      <c r="AF10" s="305"/>
      <c r="AG10" s="305"/>
      <c r="AH10" s="305"/>
      <c r="AI10" s="305"/>
      <c r="AJ10" s="305"/>
      <c r="AK10" s="305"/>
      <c r="AL10" s="309" t="s">
        <v>437</v>
      </c>
      <c r="AM10" s="315"/>
      <c r="AN10" s="316"/>
      <c r="AO10" s="309">
        <f>SUM(3131+3199)*B10</f>
        <v>18990</v>
      </c>
      <c r="AP10" s="309">
        <f>SUM(501+512)*B10</f>
        <v>3039</v>
      </c>
      <c r="AQ10" s="309">
        <f>SUM(2100+800+382+657)*B10</f>
        <v>11817</v>
      </c>
      <c r="AR10" s="309">
        <f>AO10+AP10+AQ10</f>
        <v>33846</v>
      </c>
      <c r="AS10" s="309">
        <f>230*B10</f>
        <v>690</v>
      </c>
      <c r="AT10" s="309">
        <f>AS10*16%</f>
        <v>110.4</v>
      </c>
      <c r="AU10" s="311">
        <f>AR10+AS10+AT10</f>
        <v>34646.400000000001</v>
      </c>
    </row>
    <row r="11" spans="1:52" s="281" customFormat="1" ht="12.75" hidden="1" customHeight="1">
      <c r="B11" s="292">
        <v>4</v>
      </c>
      <c r="C11" s="293"/>
      <c r="D11" s="294"/>
      <c r="E11" s="294"/>
      <c r="F11" s="312" t="s">
        <v>438</v>
      </c>
      <c r="G11" s="317" t="s">
        <v>439</v>
      </c>
      <c r="H11" s="318"/>
      <c r="I11" s="318"/>
      <c r="J11" s="318"/>
      <c r="K11" s="318"/>
      <c r="L11" s="318"/>
      <c r="M11" s="301"/>
      <c r="N11" s="303"/>
      <c r="O11" s="303"/>
      <c r="P11" s="302"/>
      <c r="Q11" s="302"/>
      <c r="R11" s="301">
        <v>46419</v>
      </c>
      <c r="S11" s="302" t="s">
        <v>440</v>
      </c>
      <c r="T11" s="303" t="s">
        <v>441</v>
      </c>
      <c r="U11" s="302">
        <v>0.42916666666666664</v>
      </c>
      <c r="V11" s="302">
        <v>0.57291666666666663</v>
      </c>
      <c r="W11" s="304">
        <v>46422</v>
      </c>
      <c r="X11" s="305" t="s">
        <v>442</v>
      </c>
      <c r="Y11" s="305" t="s">
        <v>443</v>
      </c>
      <c r="Z11" s="305">
        <v>0.60763888888888884</v>
      </c>
      <c r="AA11" s="305">
        <v>0.6791666666666667</v>
      </c>
      <c r="AB11" s="313"/>
      <c r="AC11" s="314"/>
      <c r="AD11" s="314"/>
      <c r="AE11" s="305"/>
      <c r="AF11" s="305"/>
      <c r="AG11" s="305"/>
      <c r="AH11" s="305"/>
      <c r="AI11" s="305"/>
      <c r="AJ11" s="305"/>
      <c r="AK11" s="305"/>
      <c r="AL11" s="309" t="s">
        <v>444</v>
      </c>
      <c r="AM11" s="315"/>
      <c r="AN11" s="316"/>
      <c r="AO11" s="309">
        <f>5631*B11</f>
        <v>22524</v>
      </c>
      <c r="AP11" s="309">
        <f>901*B11</f>
        <v>3604</v>
      </c>
      <c r="AQ11" s="309">
        <f>SUM(1299)*B11</f>
        <v>5196</v>
      </c>
      <c r="AR11" s="309">
        <f>AO11+AP11+AQ11</f>
        <v>31324</v>
      </c>
      <c r="AS11" s="309">
        <f>230*B11</f>
        <v>920</v>
      </c>
      <c r="AT11" s="309">
        <f>AS11*16%</f>
        <v>147.20000000000002</v>
      </c>
      <c r="AU11" s="311">
        <f>AR11+AS11+AT11</f>
        <v>32391.200000000001</v>
      </c>
    </row>
    <row r="12" spans="1:52" s="281" customFormat="1" ht="12.75" hidden="1" customHeight="1">
      <c r="B12" s="292">
        <v>7</v>
      </c>
      <c r="C12" s="293"/>
      <c r="D12" s="294"/>
      <c r="E12" s="294"/>
      <c r="F12" s="312" t="s">
        <v>445</v>
      </c>
      <c r="G12" s="296"/>
      <c r="H12" s="297"/>
      <c r="I12" s="297"/>
      <c r="J12" s="297"/>
      <c r="K12" s="297"/>
      <c r="L12" s="297"/>
      <c r="M12" s="301"/>
      <c r="N12" s="303"/>
      <c r="O12" s="303"/>
      <c r="P12" s="302"/>
      <c r="Q12" s="302"/>
      <c r="R12" s="301">
        <v>46419</v>
      </c>
      <c r="S12" s="302" t="s">
        <v>446</v>
      </c>
      <c r="T12" s="303" t="s">
        <v>447</v>
      </c>
      <c r="U12" s="302">
        <v>0.35555555555555557</v>
      </c>
      <c r="V12" s="302">
        <v>0.52430555555555558</v>
      </c>
      <c r="W12" s="304">
        <v>46422</v>
      </c>
      <c r="X12" s="305" t="s">
        <v>448</v>
      </c>
      <c r="Y12" s="305" t="s">
        <v>428</v>
      </c>
      <c r="Z12" s="305">
        <v>0.56597222222222221</v>
      </c>
      <c r="AA12" s="305">
        <v>0.63194444444444442</v>
      </c>
      <c r="AB12" s="304">
        <v>46422</v>
      </c>
      <c r="AC12" s="314" t="s">
        <v>449</v>
      </c>
      <c r="AD12" s="314" t="s">
        <v>450</v>
      </c>
      <c r="AE12" s="305">
        <v>0.71180555555555558</v>
      </c>
      <c r="AF12" s="305">
        <v>0.81458333333333333</v>
      </c>
      <c r="AG12" s="305"/>
      <c r="AH12" s="305"/>
      <c r="AI12" s="305"/>
      <c r="AJ12" s="305"/>
      <c r="AK12" s="305"/>
      <c r="AL12" s="309" t="s">
        <v>451</v>
      </c>
      <c r="AM12" s="315"/>
      <c r="AN12" s="316"/>
      <c r="AO12" s="309">
        <f>SUM(2900+3590)*B12</f>
        <v>45430</v>
      </c>
      <c r="AP12" s="309">
        <f>SUM(464+575)*B12</f>
        <v>7273</v>
      </c>
      <c r="AQ12" s="309">
        <f>SUM(1136+1509+800)*B12</f>
        <v>24115</v>
      </c>
      <c r="AR12" s="309">
        <f>AO12+AP12+AQ12</f>
        <v>76818</v>
      </c>
      <c r="AS12" s="309">
        <f>230*B12</f>
        <v>1610</v>
      </c>
      <c r="AT12" s="309">
        <f>AS12*16%</f>
        <v>257.60000000000002</v>
      </c>
      <c r="AU12" s="311">
        <f>AR12+AS12+AT12</f>
        <v>78685.600000000006</v>
      </c>
    </row>
    <row r="13" spans="1:52" s="281" customFormat="1" ht="12.75" customHeight="1">
      <c r="B13" s="292">
        <v>70</v>
      </c>
      <c r="C13" s="293"/>
      <c r="D13" s="294"/>
      <c r="E13" s="294"/>
      <c r="F13" s="312" t="s">
        <v>452</v>
      </c>
      <c r="G13" s="296"/>
      <c r="H13" s="301"/>
      <c r="I13" s="301"/>
      <c r="J13" s="301"/>
      <c r="K13" s="301"/>
      <c r="L13" s="301"/>
      <c r="M13" s="301"/>
      <c r="N13" s="303"/>
      <c r="O13" s="303"/>
      <c r="P13" s="302"/>
      <c r="Q13" s="302"/>
      <c r="R13" s="301">
        <v>46419</v>
      </c>
      <c r="S13" s="302" t="s">
        <v>453</v>
      </c>
      <c r="T13" s="303" t="s">
        <v>426</v>
      </c>
      <c r="U13" s="302">
        <v>0.4375</v>
      </c>
      <c r="V13" s="302">
        <v>0.57638888888888884</v>
      </c>
      <c r="W13" s="304">
        <v>46422</v>
      </c>
      <c r="X13" s="305" t="s">
        <v>454</v>
      </c>
      <c r="Y13" s="305" t="s">
        <v>428</v>
      </c>
      <c r="Z13" s="305">
        <v>0.46527777777777779</v>
      </c>
      <c r="AA13" s="305">
        <v>0.52430555555555558</v>
      </c>
      <c r="AB13" s="304"/>
      <c r="AC13" s="314"/>
      <c r="AD13" s="314"/>
      <c r="AE13" s="305"/>
      <c r="AF13" s="305"/>
      <c r="AG13" s="305"/>
      <c r="AH13" s="305"/>
      <c r="AI13" s="305"/>
      <c r="AJ13" s="305"/>
      <c r="AK13" s="305"/>
      <c r="AL13" s="319" t="s">
        <v>444</v>
      </c>
      <c r="AM13" s="315"/>
      <c r="AN13" s="316"/>
      <c r="AO13" s="309">
        <f>3940*B13</f>
        <v>275800</v>
      </c>
      <c r="AP13" s="309">
        <f>631*B13</f>
        <v>44170</v>
      </c>
      <c r="AQ13" s="309">
        <f>1392*B13</f>
        <v>97440</v>
      </c>
      <c r="AR13" s="309">
        <f>AO13+AP13+AQ13</f>
        <v>417410</v>
      </c>
      <c r="AS13" s="309">
        <f>230*B13</f>
        <v>16100</v>
      </c>
      <c r="AT13" s="309">
        <f>AS13*16%</f>
        <v>2576</v>
      </c>
      <c r="AU13" s="311">
        <f>AR13+AS13+AT13</f>
        <v>436086</v>
      </c>
    </row>
    <row r="14" spans="1:52" s="281" customFormat="1" ht="12.75" customHeight="1">
      <c r="B14" s="292">
        <v>70</v>
      </c>
      <c r="C14" s="293"/>
      <c r="D14" s="294"/>
      <c r="E14" s="294"/>
      <c r="F14" s="312" t="s">
        <v>452</v>
      </c>
      <c r="G14" s="296"/>
      <c r="H14" s="301"/>
      <c r="I14" s="301"/>
      <c r="J14" s="301"/>
      <c r="K14" s="301"/>
      <c r="L14" s="301"/>
      <c r="M14" s="301"/>
      <c r="N14" s="303"/>
      <c r="O14" s="303"/>
      <c r="P14" s="302"/>
      <c r="Q14" s="302"/>
      <c r="R14" s="301">
        <v>46419</v>
      </c>
      <c r="S14" s="302" t="s">
        <v>455</v>
      </c>
      <c r="T14" s="303" t="s">
        <v>426</v>
      </c>
      <c r="U14" s="302">
        <v>0.375</v>
      </c>
      <c r="V14" s="302">
        <v>0.5083333333333333</v>
      </c>
      <c r="W14" s="304">
        <v>46422</v>
      </c>
      <c r="X14" s="305" t="s">
        <v>456</v>
      </c>
      <c r="Y14" s="305" t="s">
        <v>428</v>
      </c>
      <c r="Z14" s="305">
        <v>0.44791666666666669</v>
      </c>
      <c r="AA14" s="305">
        <v>0.88194444444444442</v>
      </c>
      <c r="AB14" s="304"/>
      <c r="AC14" s="314"/>
      <c r="AD14" s="314"/>
      <c r="AE14" s="305"/>
      <c r="AF14" s="305"/>
      <c r="AG14" s="305"/>
      <c r="AH14" s="305"/>
      <c r="AI14" s="305"/>
      <c r="AJ14" s="305"/>
      <c r="AK14" s="305"/>
      <c r="AL14" s="319" t="s">
        <v>457</v>
      </c>
      <c r="AM14" s="315"/>
      <c r="AN14" s="316"/>
      <c r="AO14" s="320">
        <f>6046*B14</f>
        <v>423220</v>
      </c>
      <c r="AP14" s="309">
        <f>968*B14</f>
        <v>67760</v>
      </c>
      <c r="AQ14" s="309">
        <f>SUM(1002+1353)*B14</f>
        <v>164850</v>
      </c>
      <c r="AR14" s="309">
        <f>AO14+AP14+AQ14</f>
        <v>655830</v>
      </c>
      <c r="AS14" s="309">
        <f>230*B14</f>
        <v>16100</v>
      </c>
      <c r="AT14" s="309">
        <f>AS14*16%</f>
        <v>2576</v>
      </c>
      <c r="AU14" s="311">
        <f>AR14+AS14+AT14</f>
        <v>674506</v>
      </c>
    </row>
    <row r="15" spans="1:52" s="281" customFormat="1" ht="12.75" hidden="1" customHeight="1">
      <c r="B15" s="292">
        <v>5</v>
      </c>
      <c r="C15" s="293"/>
      <c r="D15" s="294"/>
      <c r="E15" s="294"/>
      <c r="F15" s="312" t="s">
        <v>458</v>
      </c>
      <c r="G15" s="296"/>
      <c r="H15" s="301"/>
      <c r="I15" s="301"/>
      <c r="J15" s="301"/>
      <c r="K15" s="301"/>
      <c r="L15" s="301"/>
      <c r="M15" s="301"/>
      <c r="N15" s="303"/>
      <c r="O15" s="303"/>
      <c r="P15" s="302"/>
      <c r="Q15" s="302"/>
      <c r="R15" s="301">
        <v>46419</v>
      </c>
      <c r="S15" s="302" t="s">
        <v>459</v>
      </c>
      <c r="T15" s="303" t="s">
        <v>460</v>
      </c>
      <c r="U15" s="302">
        <v>0.25069444444444444</v>
      </c>
      <c r="V15" s="302">
        <v>0.47222222222222221</v>
      </c>
      <c r="W15" s="304">
        <v>46422</v>
      </c>
      <c r="X15" s="305" t="s">
        <v>461</v>
      </c>
      <c r="Y15" s="305" t="s">
        <v>462</v>
      </c>
      <c r="Z15" s="305">
        <v>0.50694444444444442</v>
      </c>
      <c r="AA15" s="305">
        <v>0.58611111111111114</v>
      </c>
      <c r="AB15" s="313"/>
      <c r="AC15" s="314"/>
      <c r="AD15" s="305"/>
      <c r="AE15" s="305"/>
      <c r="AF15" s="305"/>
      <c r="AG15" s="305"/>
      <c r="AH15" s="305"/>
      <c r="AI15" s="305"/>
      <c r="AJ15" s="305"/>
      <c r="AK15" s="305"/>
      <c r="AL15" s="309" t="s">
        <v>444</v>
      </c>
      <c r="AM15" s="315"/>
      <c r="AN15" s="316"/>
      <c r="AO15" s="309">
        <f>3899*B15</f>
        <v>19495</v>
      </c>
      <c r="AP15" s="309">
        <f>624*B15</f>
        <v>3120</v>
      </c>
      <c r="AQ15" s="309">
        <f>SUM(2084)*B15</f>
        <v>10420</v>
      </c>
      <c r="AR15" s="309">
        <f>AO15+AP15+AQ15</f>
        <v>33035</v>
      </c>
      <c r="AS15" s="309">
        <f>230*B15</f>
        <v>1150</v>
      </c>
      <c r="AT15" s="309">
        <f>AS15*16%</f>
        <v>184</v>
      </c>
      <c r="AU15" s="311">
        <f>AR15+AS15+AT15</f>
        <v>34369</v>
      </c>
    </row>
    <row r="16" spans="1:52" s="281" customFormat="1" ht="12.75" hidden="1" customHeight="1">
      <c r="B16" s="292">
        <v>2</v>
      </c>
      <c r="C16" s="293"/>
      <c r="D16" s="294"/>
      <c r="E16" s="294"/>
      <c r="F16" s="312" t="s">
        <v>463</v>
      </c>
      <c r="G16" s="296" t="s">
        <v>464</v>
      </c>
      <c r="H16" s="301"/>
      <c r="I16" s="303"/>
      <c r="J16" s="303"/>
      <c r="K16" s="302"/>
      <c r="L16" s="302"/>
      <c r="M16" s="301"/>
      <c r="N16" s="302"/>
      <c r="O16" s="303" t="s">
        <v>464</v>
      </c>
      <c r="P16" s="302"/>
      <c r="Q16" s="302"/>
      <c r="R16" s="301">
        <v>46419</v>
      </c>
      <c r="S16" s="302"/>
      <c r="T16" s="303" t="s">
        <v>464</v>
      </c>
      <c r="U16" s="302"/>
      <c r="V16" s="302"/>
      <c r="W16" s="304">
        <v>46422</v>
      </c>
      <c r="X16" s="314"/>
      <c r="Y16" s="305" t="s">
        <v>464</v>
      </c>
      <c r="Z16" s="305"/>
      <c r="AA16" s="305"/>
      <c r="AB16" s="305"/>
      <c r="AC16" s="305"/>
      <c r="AD16" s="305" t="s">
        <v>464</v>
      </c>
      <c r="AE16" s="305"/>
      <c r="AF16" s="305"/>
      <c r="AG16" s="320"/>
      <c r="AH16" s="315"/>
      <c r="AI16" s="321" t="s">
        <v>464</v>
      </c>
      <c r="AJ16" s="309"/>
      <c r="AK16" s="309"/>
      <c r="AL16" s="309" t="s">
        <v>464</v>
      </c>
      <c r="AM16" s="309"/>
      <c r="AN16" s="309"/>
      <c r="AO16" s="309">
        <v>0</v>
      </c>
      <c r="AP16" s="309">
        <v>0</v>
      </c>
      <c r="AQ16" s="309">
        <v>0</v>
      </c>
      <c r="AR16" s="309">
        <f>AO16+AP16+AQ16</f>
        <v>0</v>
      </c>
      <c r="AS16" s="309">
        <f>230*B16</f>
        <v>460</v>
      </c>
      <c r="AT16" s="309">
        <f>AS16*16%</f>
        <v>73.600000000000009</v>
      </c>
      <c r="AU16" s="311">
        <f>AR16+AS16+AT16</f>
        <v>533.6</v>
      </c>
    </row>
    <row r="17" spans="2:47" s="281" customFormat="1" ht="12.75" hidden="1" customHeight="1">
      <c r="B17" s="292">
        <v>1</v>
      </c>
      <c r="C17" s="293"/>
      <c r="D17" s="294"/>
      <c r="E17" s="294"/>
      <c r="F17" s="312" t="s">
        <v>465</v>
      </c>
      <c r="G17" s="296"/>
      <c r="H17" s="301"/>
      <c r="I17" s="301"/>
      <c r="J17" s="301"/>
      <c r="K17" s="301"/>
      <c r="L17" s="301"/>
      <c r="M17" s="298">
        <v>46418</v>
      </c>
      <c r="N17" s="303" t="s">
        <v>466</v>
      </c>
      <c r="O17" s="303" t="s">
        <v>467</v>
      </c>
      <c r="P17" s="302">
        <v>0.65486111111111112</v>
      </c>
      <c r="Q17" s="302">
        <v>0.76736111111111116</v>
      </c>
      <c r="R17" s="301">
        <v>46419</v>
      </c>
      <c r="S17" s="302" t="s">
        <v>425</v>
      </c>
      <c r="T17" s="303" t="s">
        <v>426</v>
      </c>
      <c r="U17" s="302">
        <v>0.375</v>
      </c>
      <c r="V17" s="302">
        <v>0.52916666666666667</v>
      </c>
      <c r="W17" s="304">
        <v>46422</v>
      </c>
      <c r="X17" s="305" t="s">
        <v>468</v>
      </c>
      <c r="Y17" s="305" t="s">
        <v>428</v>
      </c>
      <c r="Z17" s="305">
        <v>0.47222222222222221</v>
      </c>
      <c r="AA17" s="305">
        <v>0.53819444444444442</v>
      </c>
      <c r="AB17" s="304">
        <v>46422</v>
      </c>
      <c r="AC17" s="304" t="s">
        <v>469</v>
      </c>
      <c r="AD17" s="314" t="s">
        <v>470</v>
      </c>
      <c r="AE17" s="305">
        <v>0.58680555555555558</v>
      </c>
      <c r="AF17" s="305">
        <v>0.61041666666666672</v>
      </c>
      <c r="AG17" s="304"/>
      <c r="AH17" s="305"/>
      <c r="AI17" s="305"/>
      <c r="AJ17" s="305"/>
      <c r="AK17" s="305"/>
      <c r="AL17" s="309" t="s">
        <v>431</v>
      </c>
      <c r="AM17" s="315"/>
      <c r="AN17" s="316"/>
      <c r="AO17" s="309">
        <f>SUM(4950)*B17</f>
        <v>4950</v>
      </c>
      <c r="AP17" s="309">
        <f>792*B17</f>
        <v>792</v>
      </c>
      <c r="AQ17" s="309">
        <f>SUM(1797+1900)*B17</f>
        <v>3697</v>
      </c>
      <c r="AR17" s="309">
        <f>AO17+AP17+AQ17</f>
        <v>9439</v>
      </c>
      <c r="AS17" s="309">
        <f>230*B17</f>
        <v>230</v>
      </c>
      <c r="AT17" s="309">
        <f>AS17*16%</f>
        <v>36.800000000000004</v>
      </c>
      <c r="AU17" s="311">
        <f>AR17+AS17+AT17</f>
        <v>9705.7999999999993</v>
      </c>
    </row>
    <row r="18" spans="2:47" s="281" customFormat="1" ht="12.75" hidden="1" customHeight="1">
      <c r="B18" s="292">
        <v>3</v>
      </c>
      <c r="C18" s="293"/>
      <c r="D18" s="294"/>
      <c r="E18" s="294"/>
      <c r="F18" s="312" t="s">
        <v>471</v>
      </c>
      <c r="G18" s="296"/>
      <c r="H18" s="301"/>
      <c r="I18" s="301"/>
      <c r="J18" s="301"/>
      <c r="K18" s="301"/>
      <c r="L18" s="301"/>
      <c r="M18" s="301">
        <v>46419</v>
      </c>
      <c r="N18" s="303" t="s">
        <v>472</v>
      </c>
      <c r="O18" s="303" t="s">
        <v>473</v>
      </c>
      <c r="P18" s="302">
        <v>0.2298611111111111</v>
      </c>
      <c r="Q18" s="302">
        <v>0.31319444444444444</v>
      </c>
      <c r="R18" s="301">
        <v>46419</v>
      </c>
      <c r="S18" s="302" t="s">
        <v>455</v>
      </c>
      <c r="T18" s="303" t="s">
        <v>426</v>
      </c>
      <c r="U18" s="302">
        <v>0.375</v>
      </c>
      <c r="V18" s="302">
        <v>0.5083333333333333</v>
      </c>
      <c r="W18" s="304">
        <v>46422</v>
      </c>
      <c r="X18" s="305" t="s">
        <v>456</v>
      </c>
      <c r="Y18" s="305" t="s">
        <v>428</v>
      </c>
      <c r="Z18" s="305">
        <v>0.44791666666666669</v>
      </c>
      <c r="AA18" s="305">
        <v>0.88194444444444442</v>
      </c>
      <c r="AB18" s="304">
        <v>46422</v>
      </c>
      <c r="AC18" s="314" t="s">
        <v>472</v>
      </c>
      <c r="AD18" s="314" t="s">
        <v>474</v>
      </c>
      <c r="AE18" s="305">
        <v>0.625</v>
      </c>
      <c r="AF18" s="305">
        <v>0.70833333333333337</v>
      </c>
      <c r="AG18" s="305"/>
      <c r="AH18" s="305"/>
      <c r="AI18" s="305"/>
      <c r="AJ18" s="305"/>
      <c r="AK18" s="305"/>
      <c r="AL18" s="319" t="s">
        <v>475</v>
      </c>
      <c r="AM18" s="315"/>
      <c r="AN18" s="316"/>
      <c r="AO18" s="320">
        <f>6046*B18</f>
        <v>18138</v>
      </c>
      <c r="AP18" s="309">
        <f>968*B18</f>
        <v>2904</v>
      </c>
      <c r="AQ18" s="309">
        <f>SUM(1002+1353+999.7)*B18</f>
        <v>10064.099999999999</v>
      </c>
      <c r="AR18" s="309">
        <f>AO18+AP18+AQ18</f>
        <v>31106.1</v>
      </c>
      <c r="AS18" s="309">
        <f>230*B18</f>
        <v>690</v>
      </c>
      <c r="AT18" s="309">
        <f>AS18*16%</f>
        <v>110.4</v>
      </c>
      <c r="AU18" s="311">
        <f>AR18+AS18+AT18</f>
        <v>31906.5</v>
      </c>
    </row>
    <row r="19" spans="2:47" s="281" customFormat="1" ht="12.75" hidden="1" customHeight="1">
      <c r="B19" s="292">
        <v>7</v>
      </c>
      <c r="C19" s="293"/>
      <c r="D19" s="294"/>
      <c r="E19" s="294"/>
      <c r="F19" s="312" t="s">
        <v>476</v>
      </c>
      <c r="G19" s="296"/>
      <c r="H19" s="301"/>
      <c r="I19" s="301"/>
      <c r="J19" s="301"/>
      <c r="K19" s="301"/>
      <c r="L19" s="301"/>
      <c r="M19" s="301">
        <v>46419</v>
      </c>
      <c r="N19" s="303" t="s">
        <v>433</v>
      </c>
      <c r="O19" s="303" t="s">
        <v>477</v>
      </c>
      <c r="P19" s="302">
        <v>0.33124999999999999</v>
      </c>
      <c r="Q19" s="302">
        <v>0.4548611111111111</v>
      </c>
      <c r="R19" s="301">
        <v>46419</v>
      </c>
      <c r="S19" s="302" t="s">
        <v>478</v>
      </c>
      <c r="T19" s="303" t="s">
        <v>426</v>
      </c>
      <c r="U19" s="302">
        <v>0.50694444444444442</v>
      </c>
      <c r="V19" s="302">
        <v>0.65277777777777779</v>
      </c>
      <c r="W19" s="304">
        <v>46422</v>
      </c>
      <c r="X19" s="305" t="s">
        <v>479</v>
      </c>
      <c r="Y19" s="304" t="s">
        <v>428</v>
      </c>
      <c r="Z19" s="305">
        <v>0.35972222222222222</v>
      </c>
      <c r="AA19" s="305">
        <v>0.4236111111111111</v>
      </c>
      <c r="AB19" s="304">
        <v>46422</v>
      </c>
      <c r="AC19" s="314" t="s">
        <v>480</v>
      </c>
      <c r="AD19" s="314" t="s">
        <v>481</v>
      </c>
      <c r="AE19" s="305">
        <v>0.5</v>
      </c>
      <c r="AF19" s="305">
        <v>0.55000000000000004</v>
      </c>
      <c r="AG19" s="305"/>
      <c r="AH19" s="305"/>
      <c r="AI19" s="305"/>
      <c r="AJ19" s="305"/>
      <c r="AK19" s="305"/>
      <c r="AL19" s="309" t="s">
        <v>482</v>
      </c>
      <c r="AM19" s="315"/>
      <c r="AN19" s="316"/>
      <c r="AO19" s="320">
        <f>SUM(8076)*B19</f>
        <v>56532</v>
      </c>
      <c r="AP19" s="309">
        <f>1453*B19</f>
        <v>10171</v>
      </c>
      <c r="AQ19" s="309">
        <f>SUM(2738+1900)*B19</f>
        <v>32466</v>
      </c>
      <c r="AR19" s="309">
        <f>AO19+AP19+AQ19</f>
        <v>99169</v>
      </c>
      <c r="AS19" s="309">
        <f>230*B19</f>
        <v>1610</v>
      </c>
      <c r="AT19" s="309">
        <f>AS19*16%</f>
        <v>257.60000000000002</v>
      </c>
      <c r="AU19" s="311">
        <f>AR19+AS19+AT19</f>
        <v>101036.6</v>
      </c>
    </row>
    <row r="20" spans="2:47" s="281" customFormat="1" ht="12.75" hidden="1" customHeight="1">
      <c r="B20" s="292">
        <v>1</v>
      </c>
      <c r="C20" s="293"/>
      <c r="D20" s="294"/>
      <c r="E20" s="294"/>
      <c r="F20" s="312" t="s">
        <v>483</v>
      </c>
      <c r="G20" s="296" t="s">
        <v>484</v>
      </c>
      <c r="H20" s="301"/>
      <c r="I20" s="301"/>
      <c r="J20" s="301"/>
      <c r="K20" s="301"/>
      <c r="L20" s="301"/>
      <c r="M20" s="298">
        <v>46418</v>
      </c>
      <c r="N20" s="303" t="s">
        <v>485</v>
      </c>
      <c r="O20" s="303" t="s">
        <v>486</v>
      </c>
      <c r="P20" s="302">
        <v>0.81805555555555554</v>
      </c>
      <c r="Q20" s="302">
        <v>0.95486111111111116</v>
      </c>
      <c r="R20" s="301">
        <v>46419</v>
      </c>
      <c r="S20" s="302" t="s">
        <v>425</v>
      </c>
      <c r="T20" s="303" t="s">
        <v>426</v>
      </c>
      <c r="U20" s="302">
        <v>0.375</v>
      </c>
      <c r="V20" s="302">
        <v>0.52916666666666667</v>
      </c>
      <c r="W20" s="304">
        <v>46422</v>
      </c>
      <c r="X20" s="304" t="s">
        <v>427</v>
      </c>
      <c r="Y20" s="305" t="s">
        <v>428</v>
      </c>
      <c r="Z20" s="305">
        <v>0.59166666666666667</v>
      </c>
      <c r="AA20" s="305">
        <v>0.65972222222222221</v>
      </c>
      <c r="AB20" s="304">
        <v>46422</v>
      </c>
      <c r="AC20" s="314" t="s">
        <v>487</v>
      </c>
      <c r="AD20" s="314" t="s">
        <v>488</v>
      </c>
      <c r="AE20" s="305">
        <v>0.72916666666666663</v>
      </c>
      <c r="AF20" s="305">
        <v>0.79027777777777775</v>
      </c>
      <c r="AG20" s="305"/>
      <c r="AH20" s="305"/>
      <c r="AI20" s="305"/>
      <c r="AJ20" s="305"/>
      <c r="AK20" s="305"/>
      <c r="AL20" s="309" t="s">
        <v>482</v>
      </c>
      <c r="AM20" s="315"/>
      <c r="AN20" s="316"/>
      <c r="AO20" s="309">
        <f>4840*B20</f>
        <v>4840</v>
      </c>
      <c r="AP20" s="309">
        <f>775*B20</f>
        <v>775</v>
      </c>
      <c r="AQ20" s="309">
        <f>SUM(1200+1900)*B20</f>
        <v>3100</v>
      </c>
      <c r="AR20" s="309">
        <f>AO20+AP20+AQ20</f>
        <v>8715</v>
      </c>
      <c r="AS20" s="309">
        <f>230*B20</f>
        <v>230</v>
      </c>
      <c r="AT20" s="309">
        <f>AS20*16%</f>
        <v>36.800000000000004</v>
      </c>
      <c r="AU20" s="311">
        <f>AR20+AS20+AT20</f>
        <v>8981.7999999999993</v>
      </c>
    </row>
    <row r="21" spans="2:47" s="281" customFormat="1" ht="12.75" hidden="1" customHeight="1">
      <c r="B21" s="292">
        <v>1</v>
      </c>
      <c r="C21" s="293"/>
      <c r="D21" s="294"/>
      <c r="E21" s="294"/>
      <c r="F21" s="312" t="s">
        <v>489</v>
      </c>
      <c r="G21" s="296" t="s">
        <v>490</v>
      </c>
      <c r="H21" s="301"/>
      <c r="I21" s="301"/>
      <c r="J21" s="301"/>
      <c r="K21" s="301"/>
      <c r="L21" s="301"/>
      <c r="M21" s="298">
        <v>46418</v>
      </c>
      <c r="N21" s="303" t="s">
        <v>491</v>
      </c>
      <c r="O21" s="303" t="s">
        <v>492</v>
      </c>
      <c r="P21" s="302">
        <v>0.7319444444444444</v>
      </c>
      <c r="Q21" s="302">
        <v>0.84375</v>
      </c>
      <c r="R21" s="301">
        <v>46419</v>
      </c>
      <c r="S21" s="302" t="s">
        <v>425</v>
      </c>
      <c r="T21" s="303" t="s">
        <v>426</v>
      </c>
      <c r="U21" s="302">
        <v>0.375</v>
      </c>
      <c r="V21" s="302">
        <v>0.52916666666666667</v>
      </c>
      <c r="W21" s="304">
        <v>46422</v>
      </c>
      <c r="X21" s="304" t="s">
        <v>493</v>
      </c>
      <c r="Y21" s="305" t="s">
        <v>428</v>
      </c>
      <c r="Z21" s="305">
        <v>0.51875000000000004</v>
      </c>
      <c r="AA21" s="305">
        <v>0.58680555555555558</v>
      </c>
      <c r="AB21" s="304">
        <v>46422</v>
      </c>
      <c r="AC21" s="314" t="s">
        <v>494</v>
      </c>
      <c r="AD21" s="314" t="s">
        <v>495</v>
      </c>
      <c r="AE21" s="305">
        <v>0.66666666666666663</v>
      </c>
      <c r="AF21" s="305">
        <v>0.70902777777777781</v>
      </c>
      <c r="AG21" s="305"/>
      <c r="AH21" s="305"/>
      <c r="AI21" s="305"/>
      <c r="AJ21" s="305"/>
      <c r="AK21" s="305"/>
      <c r="AL21" s="309" t="s">
        <v>482</v>
      </c>
      <c r="AM21" s="315"/>
      <c r="AN21" s="316"/>
      <c r="AO21" s="309">
        <f>7940*B21</f>
        <v>7940</v>
      </c>
      <c r="AP21" s="309">
        <f>1271*B21</f>
        <v>1271</v>
      </c>
      <c r="AQ21" s="309">
        <f>SUM(2649+1900)*B21</f>
        <v>4549</v>
      </c>
      <c r="AR21" s="309">
        <f>AO21+AP21+AQ21</f>
        <v>13760</v>
      </c>
      <c r="AS21" s="309">
        <f>230*B21</f>
        <v>230</v>
      </c>
      <c r="AT21" s="309">
        <f>AS21*16%</f>
        <v>36.800000000000004</v>
      </c>
      <c r="AU21" s="311">
        <f>AR21+AS21+AT21</f>
        <v>14026.8</v>
      </c>
    </row>
    <row r="22" spans="2:47" s="281" customFormat="1" ht="12.75" hidden="1" customHeight="1">
      <c r="B22" s="292">
        <v>1</v>
      </c>
      <c r="C22" s="293"/>
      <c r="D22" s="294"/>
      <c r="E22" s="294"/>
      <c r="F22" s="312" t="s">
        <v>496</v>
      </c>
      <c r="G22" s="296"/>
      <c r="H22" s="298">
        <v>46418</v>
      </c>
      <c r="I22" s="303" t="s">
        <v>497</v>
      </c>
      <c r="J22" s="303" t="s">
        <v>498</v>
      </c>
      <c r="K22" s="300">
        <v>0.625</v>
      </c>
      <c r="L22" s="300">
        <v>0.79166666666666663</v>
      </c>
      <c r="M22" s="301">
        <v>46419</v>
      </c>
      <c r="N22" s="303" t="s">
        <v>499</v>
      </c>
      <c r="O22" s="303" t="s">
        <v>500</v>
      </c>
      <c r="P22" s="302">
        <v>0.25</v>
      </c>
      <c r="Q22" s="302">
        <v>0.3263888888888889</v>
      </c>
      <c r="R22" s="301">
        <v>46419</v>
      </c>
      <c r="S22" s="302" t="s">
        <v>425</v>
      </c>
      <c r="T22" s="303" t="s">
        <v>426</v>
      </c>
      <c r="U22" s="302">
        <v>0.375</v>
      </c>
      <c r="V22" s="302">
        <v>0.52916666666666667</v>
      </c>
      <c r="W22" s="304">
        <v>46422</v>
      </c>
      <c r="X22" s="305" t="s">
        <v>493</v>
      </c>
      <c r="Y22" s="305" t="s">
        <v>428</v>
      </c>
      <c r="Z22" s="305">
        <v>0.51875000000000004</v>
      </c>
      <c r="AA22" s="305">
        <v>0.58680555555555558</v>
      </c>
      <c r="AB22" s="304">
        <v>46422</v>
      </c>
      <c r="AC22" s="314" t="s">
        <v>501</v>
      </c>
      <c r="AD22" s="314" t="s">
        <v>502</v>
      </c>
      <c r="AE22" s="305">
        <v>0.62847222222222221</v>
      </c>
      <c r="AF22" s="305">
        <v>0.70625000000000004</v>
      </c>
      <c r="AG22" s="322">
        <v>46423</v>
      </c>
      <c r="AH22" s="305" t="s">
        <v>497</v>
      </c>
      <c r="AI22" s="305" t="s">
        <v>503</v>
      </c>
      <c r="AJ22" s="305">
        <v>0.375</v>
      </c>
      <c r="AK22" s="305">
        <v>0.57777777777777772</v>
      </c>
      <c r="AL22" s="319" t="s">
        <v>504</v>
      </c>
      <c r="AM22" s="315"/>
      <c r="AN22" s="316"/>
      <c r="AO22" s="320">
        <f>SUM(4998)*B22</f>
        <v>4998</v>
      </c>
      <c r="AP22" s="309">
        <f>800*B22</f>
        <v>800</v>
      </c>
      <c r="AQ22" s="309">
        <f>SUM(2250+1900+878)*B22</f>
        <v>5028</v>
      </c>
      <c r="AR22" s="309">
        <f>AO22+AP22+AQ22</f>
        <v>10826</v>
      </c>
      <c r="AS22" s="309">
        <f>230*B22</f>
        <v>230</v>
      </c>
      <c r="AT22" s="309">
        <f>AS22*16%</f>
        <v>36.800000000000004</v>
      </c>
      <c r="AU22" s="311">
        <f>AR22+AS22+AT22</f>
        <v>11092.8</v>
      </c>
    </row>
    <row r="23" spans="2:47" s="281" customFormat="1" ht="12.75" customHeight="1">
      <c r="B23" s="292">
        <f>35+6</f>
        <v>41</v>
      </c>
      <c r="C23" s="293"/>
      <c r="D23" s="294"/>
      <c r="E23" s="294"/>
      <c r="F23" s="312" t="s">
        <v>505</v>
      </c>
      <c r="G23" s="296"/>
      <c r="H23" s="301"/>
      <c r="I23" s="301"/>
      <c r="J23" s="301"/>
      <c r="K23" s="301"/>
      <c r="L23" s="301"/>
      <c r="M23" s="301"/>
      <c r="N23" s="303"/>
      <c r="O23" s="303"/>
      <c r="P23" s="302"/>
      <c r="Q23" s="302"/>
      <c r="R23" s="301">
        <v>46419</v>
      </c>
      <c r="S23" s="302" t="s">
        <v>506</v>
      </c>
      <c r="T23" s="303" t="s">
        <v>507</v>
      </c>
      <c r="U23" s="302">
        <v>0.39652777777777776</v>
      </c>
      <c r="V23" s="302">
        <v>0.53125</v>
      </c>
      <c r="W23" s="304">
        <v>46422</v>
      </c>
      <c r="X23" s="305" t="s">
        <v>508</v>
      </c>
      <c r="Y23" s="305" t="s">
        <v>509</v>
      </c>
      <c r="Z23" s="305">
        <v>0.56944444444444442</v>
      </c>
      <c r="AA23" s="305">
        <v>0.62638888888888888</v>
      </c>
      <c r="AB23" s="304"/>
      <c r="AC23" s="314"/>
      <c r="AD23" s="314"/>
      <c r="AE23" s="305"/>
      <c r="AF23" s="305"/>
      <c r="AG23" s="305"/>
      <c r="AH23" s="305"/>
      <c r="AI23" s="305"/>
      <c r="AJ23" s="305"/>
      <c r="AK23" s="305"/>
      <c r="AL23" s="319" t="s">
        <v>444</v>
      </c>
      <c r="AM23" s="315"/>
      <c r="AN23" s="316"/>
      <c r="AO23" s="320">
        <f>4418*B23</f>
        <v>181138</v>
      </c>
      <c r="AP23" s="309">
        <f>707*B23</f>
        <v>28987</v>
      </c>
      <c r="AQ23" s="309">
        <f>1790*B23</f>
        <v>73390</v>
      </c>
      <c r="AR23" s="309">
        <f>AO23+AP23+AQ23</f>
        <v>283515</v>
      </c>
      <c r="AS23" s="309">
        <f>230*B23</f>
        <v>9430</v>
      </c>
      <c r="AT23" s="309">
        <f>AS23*16%</f>
        <v>1508.8</v>
      </c>
      <c r="AU23" s="311">
        <f>AR23+AS23+AT23</f>
        <v>294453.8</v>
      </c>
    </row>
    <row r="24" spans="2:47" s="281" customFormat="1" ht="12.75" hidden="1" customHeight="1">
      <c r="B24" s="292">
        <v>4</v>
      </c>
      <c r="C24" s="293"/>
      <c r="D24" s="294"/>
      <c r="E24" s="294"/>
      <c r="F24" s="312" t="s">
        <v>510</v>
      </c>
      <c r="G24" s="296"/>
      <c r="H24" s="301"/>
      <c r="I24" s="301"/>
      <c r="J24" s="301"/>
      <c r="K24" s="301"/>
      <c r="L24" s="301"/>
      <c r="M24" s="301"/>
      <c r="N24" s="303"/>
      <c r="O24" s="303"/>
      <c r="P24" s="302"/>
      <c r="Q24" s="302"/>
      <c r="R24" s="301">
        <v>46419</v>
      </c>
      <c r="S24" s="302" t="s">
        <v>506</v>
      </c>
      <c r="T24" s="303" t="s">
        <v>507</v>
      </c>
      <c r="U24" s="302">
        <v>0.39930555555555558</v>
      </c>
      <c r="V24" s="302">
        <v>0.53125</v>
      </c>
      <c r="W24" s="304">
        <v>46422</v>
      </c>
      <c r="X24" s="305" t="s">
        <v>511</v>
      </c>
      <c r="Y24" s="305" t="s">
        <v>509</v>
      </c>
      <c r="Z24" s="305">
        <v>0.44097222222222221</v>
      </c>
      <c r="AA24" s="305">
        <v>0.49722222222222223</v>
      </c>
      <c r="AB24" s="304"/>
      <c r="AC24" s="314"/>
      <c r="AD24" s="314"/>
      <c r="AE24" s="305"/>
      <c r="AF24" s="305"/>
      <c r="AG24" s="305"/>
      <c r="AH24" s="305"/>
      <c r="AI24" s="305"/>
      <c r="AJ24" s="305"/>
      <c r="AK24" s="305"/>
      <c r="AL24" s="319" t="s">
        <v>444</v>
      </c>
      <c r="AM24" s="315"/>
      <c r="AN24" s="316"/>
      <c r="AO24" s="320">
        <f>3800*B24</f>
        <v>15200</v>
      </c>
      <c r="AP24" s="309">
        <f>608*B24</f>
        <v>2432</v>
      </c>
      <c r="AQ24" s="309">
        <f>1233*B24</f>
        <v>4932</v>
      </c>
      <c r="AR24" s="309">
        <f>AO24+AP24+AQ24</f>
        <v>22564</v>
      </c>
      <c r="AS24" s="309">
        <f>230*B24</f>
        <v>920</v>
      </c>
      <c r="AT24" s="309">
        <f>AS24*16%</f>
        <v>147.20000000000002</v>
      </c>
      <c r="AU24" s="311">
        <f>AR24+AS24+AT24</f>
        <v>23631.200000000001</v>
      </c>
    </row>
    <row r="25" spans="2:47" s="281" customFormat="1" ht="12.75" hidden="1" customHeight="1">
      <c r="B25" s="292">
        <v>10</v>
      </c>
      <c r="C25" s="293"/>
      <c r="D25" s="294"/>
      <c r="E25" s="294"/>
      <c r="F25" s="312" t="s">
        <v>512</v>
      </c>
      <c r="G25" s="296" t="s">
        <v>513</v>
      </c>
      <c r="H25" s="301"/>
      <c r="I25" s="301"/>
      <c r="J25" s="301"/>
      <c r="K25" s="301"/>
      <c r="L25" s="301"/>
      <c r="M25" s="301"/>
      <c r="N25" s="303"/>
      <c r="O25" s="303"/>
      <c r="P25" s="302"/>
      <c r="Q25" s="302"/>
      <c r="R25" s="301">
        <v>46419</v>
      </c>
      <c r="S25" s="302" t="s">
        <v>514</v>
      </c>
      <c r="T25" s="303" t="s">
        <v>515</v>
      </c>
      <c r="U25" s="302">
        <v>0.28125</v>
      </c>
      <c r="V25" s="302">
        <v>0.47222222222222221</v>
      </c>
      <c r="W25" s="304">
        <v>46422</v>
      </c>
      <c r="X25" s="305" t="s">
        <v>514</v>
      </c>
      <c r="Y25" s="305" t="s">
        <v>516</v>
      </c>
      <c r="Z25" s="305">
        <v>0.57708333333333328</v>
      </c>
      <c r="AA25" s="305">
        <v>0.71597222222222223</v>
      </c>
      <c r="AB25" s="304"/>
      <c r="AC25" s="314"/>
      <c r="AD25" s="314"/>
      <c r="AE25" s="305"/>
      <c r="AF25" s="305"/>
      <c r="AG25" s="305"/>
      <c r="AH25" s="305"/>
      <c r="AI25" s="305"/>
      <c r="AJ25" s="305"/>
      <c r="AK25" s="305"/>
      <c r="AL25" s="319" t="s">
        <v>517</v>
      </c>
      <c r="AM25" s="315"/>
      <c r="AN25" s="316"/>
      <c r="AO25" s="320">
        <f>1300*B25</f>
        <v>13000</v>
      </c>
      <c r="AP25" s="309">
        <f>SUM(208)*B25</f>
        <v>2080</v>
      </c>
      <c r="AQ25" s="309">
        <f>SUM(0)*B25</f>
        <v>0</v>
      </c>
      <c r="AR25" s="309">
        <f>AO25+AP25+AQ25</f>
        <v>15080</v>
      </c>
      <c r="AS25" s="309">
        <f>230*B25</f>
        <v>2300</v>
      </c>
      <c r="AT25" s="309">
        <f>AS25*16%</f>
        <v>368</v>
      </c>
      <c r="AU25" s="311">
        <f>AR25+AS25+AT25</f>
        <v>17748</v>
      </c>
    </row>
    <row r="26" spans="2:47" s="281" customFormat="1" ht="12.75" hidden="1" customHeight="1">
      <c r="B26" s="292">
        <v>1</v>
      </c>
      <c r="C26" s="293"/>
      <c r="D26" s="294"/>
      <c r="E26" s="294"/>
      <c r="F26" s="312" t="s">
        <v>518</v>
      </c>
      <c r="G26" s="296"/>
      <c r="H26" s="298">
        <v>46418</v>
      </c>
      <c r="I26" s="303" t="s">
        <v>497</v>
      </c>
      <c r="J26" s="303" t="s">
        <v>519</v>
      </c>
      <c r="K26" s="302">
        <v>0.70833333333333337</v>
      </c>
      <c r="L26" s="300">
        <v>0.83333333333333337</v>
      </c>
      <c r="M26" s="301">
        <v>46419</v>
      </c>
      <c r="N26" s="303" t="s">
        <v>499</v>
      </c>
      <c r="O26" s="303" t="s">
        <v>500</v>
      </c>
      <c r="P26" s="302">
        <v>0.25</v>
      </c>
      <c r="Q26" s="302">
        <v>0.3263888888888889</v>
      </c>
      <c r="R26" s="301">
        <v>46419</v>
      </c>
      <c r="S26" s="302" t="s">
        <v>425</v>
      </c>
      <c r="T26" s="303" t="s">
        <v>426</v>
      </c>
      <c r="U26" s="302">
        <v>0.375</v>
      </c>
      <c r="V26" s="302">
        <v>0.52916666666666667</v>
      </c>
      <c r="W26" s="304">
        <v>46422</v>
      </c>
      <c r="X26" s="305" t="s">
        <v>493</v>
      </c>
      <c r="Y26" s="305" t="s">
        <v>428</v>
      </c>
      <c r="Z26" s="305">
        <v>0.51875000000000004</v>
      </c>
      <c r="AA26" s="305">
        <v>0.58680555555555558</v>
      </c>
      <c r="AB26" s="304">
        <v>46422</v>
      </c>
      <c r="AC26" s="314" t="s">
        <v>501</v>
      </c>
      <c r="AD26" s="314" t="s">
        <v>502</v>
      </c>
      <c r="AE26" s="305">
        <v>0.62847222222222221</v>
      </c>
      <c r="AF26" s="305">
        <v>0.70625000000000004</v>
      </c>
      <c r="AG26" s="322">
        <v>46423</v>
      </c>
      <c r="AH26" s="305" t="s">
        <v>497</v>
      </c>
      <c r="AI26" s="305" t="s">
        <v>520</v>
      </c>
      <c r="AJ26" s="305">
        <v>0.375</v>
      </c>
      <c r="AK26" s="305">
        <v>0.59861111111111109</v>
      </c>
      <c r="AL26" s="319" t="s">
        <v>504</v>
      </c>
      <c r="AM26" s="315"/>
      <c r="AN26" s="316"/>
      <c r="AO26" s="320">
        <f>SUM(4998)*B26</f>
        <v>4998</v>
      </c>
      <c r="AP26" s="309">
        <f>800*B26</f>
        <v>800</v>
      </c>
      <c r="AQ26" s="309">
        <f>SUM(2250+1900+993.5)*B26</f>
        <v>5143.5</v>
      </c>
      <c r="AR26" s="309">
        <f>AO26+AP26+AQ26</f>
        <v>10941.5</v>
      </c>
      <c r="AS26" s="309">
        <f>230*B26</f>
        <v>230</v>
      </c>
      <c r="AT26" s="309">
        <f>AS26*16%</f>
        <v>36.800000000000004</v>
      </c>
      <c r="AU26" s="311">
        <f>AR26+AS26+AT26</f>
        <v>11208.3</v>
      </c>
    </row>
    <row r="27" spans="2:47" s="281" customFormat="1" ht="12.75" hidden="1" customHeight="1">
      <c r="B27" s="292">
        <v>29</v>
      </c>
      <c r="C27" s="293"/>
      <c r="D27" s="294"/>
      <c r="E27" s="294"/>
      <c r="F27" s="312" t="s">
        <v>521</v>
      </c>
      <c r="G27" s="296"/>
      <c r="H27" s="301"/>
      <c r="I27" s="301"/>
      <c r="J27" s="301"/>
      <c r="K27" s="301"/>
      <c r="L27" s="301"/>
      <c r="M27" s="301"/>
      <c r="N27" s="303"/>
      <c r="O27" s="303"/>
      <c r="P27" s="302"/>
      <c r="Q27" s="302"/>
      <c r="R27" s="301">
        <v>46419</v>
      </c>
      <c r="S27" s="303" t="s">
        <v>522</v>
      </c>
      <c r="T27" s="303" t="s">
        <v>523</v>
      </c>
      <c r="U27" s="302">
        <v>0.34930555555555554</v>
      </c>
      <c r="V27" s="302">
        <v>0.50277777777777777</v>
      </c>
      <c r="W27" s="304">
        <v>46422</v>
      </c>
      <c r="X27" s="305" t="s">
        <v>524</v>
      </c>
      <c r="Y27" s="305" t="s">
        <v>525</v>
      </c>
      <c r="Z27" s="305">
        <v>0.54166666666666663</v>
      </c>
      <c r="AA27" s="305">
        <v>0.62013888888888891</v>
      </c>
      <c r="AB27" s="313"/>
      <c r="AC27" s="314"/>
      <c r="AD27" s="314"/>
      <c r="AE27" s="305"/>
      <c r="AF27" s="305"/>
      <c r="AG27" s="305"/>
      <c r="AH27" s="305"/>
      <c r="AI27" s="305"/>
      <c r="AJ27" s="305"/>
      <c r="AK27" s="305"/>
      <c r="AL27" s="319" t="s">
        <v>457</v>
      </c>
      <c r="AM27" s="315"/>
      <c r="AN27" s="316"/>
      <c r="AO27" s="320">
        <f>6000*B27</f>
        <v>174000</v>
      </c>
      <c r="AP27" s="309">
        <f>960*B27</f>
        <v>27840</v>
      </c>
      <c r="AQ27" s="309">
        <f>SUM(1046+1339)*B27</f>
        <v>69165</v>
      </c>
      <c r="AR27" s="309">
        <f>AO27+AP27+AQ27</f>
        <v>271005</v>
      </c>
      <c r="AS27" s="309">
        <f>230*B27</f>
        <v>6670</v>
      </c>
      <c r="AT27" s="309">
        <f>AS27*16%</f>
        <v>1067.2</v>
      </c>
      <c r="AU27" s="311">
        <f>AR27+AS27+AT27</f>
        <v>278742.2</v>
      </c>
    </row>
    <row r="28" spans="2:47" s="281" customFormat="1" ht="12.75" hidden="1" customHeight="1">
      <c r="B28" s="292">
        <v>6</v>
      </c>
      <c r="C28" s="293"/>
      <c r="D28" s="294"/>
      <c r="E28" s="294"/>
      <c r="F28" s="312" t="s">
        <v>526</v>
      </c>
      <c r="G28" s="296"/>
      <c r="H28" s="301"/>
      <c r="I28" s="301"/>
      <c r="J28" s="301"/>
      <c r="K28" s="300"/>
      <c r="L28" s="300"/>
      <c r="M28" s="301">
        <v>46419</v>
      </c>
      <c r="N28" s="301" t="s">
        <v>527</v>
      </c>
      <c r="O28" s="301" t="s">
        <v>528</v>
      </c>
      <c r="P28" s="300">
        <v>0.25347222222222221</v>
      </c>
      <c r="Q28" s="300">
        <v>0.40625</v>
      </c>
      <c r="R28" s="301">
        <v>46419</v>
      </c>
      <c r="S28" s="302" t="s">
        <v>529</v>
      </c>
      <c r="T28" s="303" t="s">
        <v>426</v>
      </c>
      <c r="U28" s="302">
        <v>0.46875</v>
      </c>
      <c r="V28" s="302">
        <v>0.61597222222222225</v>
      </c>
      <c r="W28" s="304">
        <v>46422</v>
      </c>
      <c r="X28" s="305" t="s">
        <v>427</v>
      </c>
      <c r="Y28" s="305" t="s">
        <v>428</v>
      </c>
      <c r="Z28" s="305">
        <v>0.59166666666666667</v>
      </c>
      <c r="AA28" s="305">
        <v>0.65972222222222221</v>
      </c>
      <c r="AB28" s="304">
        <v>46422</v>
      </c>
      <c r="AC28" s="314" t="s">
        <v>530</v>
      </c>
      <c r="AD28" s="314" t="s">
        <v>531</v>
      </c>
      <c r="AE28" s="305">
        <v>0.70833333333333337</v>
      </c>
      <c r="AF28" s="305">
        <v>0.79513888888888884</v>
      </c>
      <c r="AG28" s="305"/>
      <c r="AH28" s="305"/>
      <c r="AI28" s="305"/>
      <c r="AJ28" s="305"/>
      <c r="AK28" s="305"/>
      <c r="AL28" s="309" t="s">
        <v>482</v>
      </c>
      <c r="AM28" s="315"/>
      <c r="AN28" s="316"/>
      <c r="AO28" s="309">
        <f>7088*B28</f>
        <v>42528</v>
      </c>
      <c r="AP28" s="309">
        <f>1294*B28</f>
        <v>7764</v>
      </c>
      <c r="AQ28" s="309">
        <f>SUM(2362+1900)*B28</f>
        <v>25572</v>
      </c>
      <c r="AR28" s="309">
        <f>AO28+AP28+AQ28</f>
        <v>75864</v>
      </c>
      <c r="AS28" s="309">
        <f>230*B28</f>
        <v>1380</v>
      </c>
      <c r="AT28" s="309">
        <f>AS28*16%</f>
        <v>220.8</v>
      </c>
      <c r="AU28" s="311">
        <f>AR28+AS28+AT28</f>
        <v>77464.800000000003</v>
      </c>
    </row>
    <row r="29" spans="2:47" s="281" customFormat="1" ht="12.75" hidden="1" customHeight="1">
      <c r="B29" s="292">
        <v>2</v>
      </c>
      <c r="C29" s="293"/>
      <c r="D29" s="294"/>
      <c r="E29" s="294"/>
      <c r="F29" s="312" t="s">
        <v>532</v>
      </c>
      <c r="G29" s="317" t="s">
        <v>439</v>
      </c>
      <c r="H29" s="301"/>
      <c r="I29" s="301"/>
      <c r="J29" s="301"/>
      <c r="K29" s="301"/>
      <c r="L29" s="301"/>
      <c r="M29" s="301"/>
      <c r="N29" s="303"/>
      <c r="O29" s="303"/>
      <c r="P29" s="302"/>
      <c r="Q29" s="302"/>
      <c r="R29" s="301">
        <v>46419</v>
      </c>
      <c r="S29" s="302" t="s">
        <v>440</v>
      </c>
      <c r="T29" s="303" t="s">
        <v>441</v>
      </c>
      <c r="U29" s="302">
        <v>0.42916666666666664</v>
      </c>
      <c r="V29" s="302">
        <v>0.57291666666666663</v>
      </c>
      <c r="W29" s="304">
        <v>46422</v>
      </c>
      <c r="X29" s="305" t="s">
        <v>442</v>
      </c>
      <c r="Y29" s="305" t="s">
        <v>443</v>
      </c>
      <c r="Z29" s="305">
        <v>0.60763888888888884</v>
      </c>
      <c r="AA29" s="305">
        <v>0.6791666666666667</v>
      </c>
      <c r="AB29" s="313"/>
      <c r="AC29" s="314"/>
      <c r="AD29" s="314"/>
      <c r="AE29" s="305"/>
      <c r="AF29" s="305"/>
      <c r="AG29" s="305"/>
      <c r="AH29" s="305"/>
      <c r="AI29" s="305"/>
      <c r="AJ29" s="305"/>
      <c r="AK29" s="305"/>
      <c r="AL29" s="309" t="s">
        <v>444</v>
      </c>
      <c r="AM29" s="315"/>
      <c r="AN29" s="316"/>
      <c r="AO29" s="309">
        <f>5631*B29</f>
        <v>11262</v>
      </c>
      <c r="AP29" s="309">
        <f>901*B29</f>
        <v>1802</v>
      </c>
      <c r="AQ29" s="309">
        <f>SUM(1299)*B29</f>
        <v>2598</v>
      </c>
      <c r="AR29" s="309">
        <f>AO29+AP29+AQ29</f>
        <v>15662</v>
      </c>
      <c r="AS29" s="309">
        <f>230*B29</f>
        <v>460</v>
      </c>
      <c r="AT29" s="309">
        <f>AS29*16%</f>
        <v>73.600000000000009</v>
      </c>
      <c r="AU29" s="311">
        <f>AR29+AS29+AT29</f>
        <v>16195.6</v>
      </c>
    </row>
    <row r="30" spans="2:47" s="281" customFormat="1" ht="12.75" hidden="1" customHeight="1">
      <c r="B30" s="292">
        <v>8</v>
      </c>
      <c r="C30" s="293"/>
      <c r="D30" s="294"/>
      <c r="E30" s="294"/>
      <c r="F30" s="312" t="s">
        <v>533</v>
      </c>
      <c r="G30" s="317" t="s">
        <v>439</v>
      </c>
      <c r="H30" s="301"/>
      <c r="I30" s="301"/>
      <c r="J30" s="301"/>
      <c r="K30" s="301"/>
      <c r="L30" s="301"/>
      <c r="M30" s="301"/>
      <c r="N30" s="303"/>
      <c r="O30" s="303"/>
      <c r="P30" s="302"/>
      <c r="Q30" s="302"/>
      <c r="R30" s="301">
        <v>46419</v>
      </c>
      <c r="S30" s="302" t="s">
        <v>440</v>
      </c>
      <c r="T30" s="303" t="s">
        <v>441</v>
      </c>
      <c r="U30" s="302">
        <v>0.42916666666666664</v>
      </c>
      <c r="V30" s="302">
        <v>0.57291666666666663</v>
      </c>
      <c r="W30" s="304">
        <v>46422</v>
      </c>
      <c r="X30" s="305" t="s">
        <v>442</v>
      </c>
      <c r="Y30" s="305" t="s">
        <v>443</v>
      </c>
      <c r="Z30" s="305">
        <v>0.60763888888888884</v>
      </c>
      <c r="AA30" s="305">
        <v>0.6791666666666667</v>
      </c>
      <c r="AB30" s="313"/>
      <c r="AC30" s="314"/>
      <c r="AD30" s="314"/>
      <c r="AE30" s="305"/>
      <c r="AF30" s="305"/>
      <c r="AG30" s="305"/>
      <c r="AH30" s="305"/>
      <c r="AI30" s="305"/>
      <c r="AJ30" s="305"/>
      <c r="AK30" s="305"/>
      <c r="AL30" s="309" t="s">
        <v>444</v>
      </c>
      <c r="AM30" s="315"/>
      <c r="AN30" s="316"/>
      <c r="AO30" s="309">
        <f>5631*B30</f>
        <v>45048</v>
      </c>
      <c r="AP30" s="309">
        <f>901*B30</f>
        <v>7208</v>
      </c>
      <c r="AQ30" s="309">
        <f>SUM(1299)*B30</f>
        <v>10392</v>
      </c>
      <c r="AR30" s="309">
        <f>AO30+AP30+AQ30</f>
        <v>62648</v>
      </c>
      <c r="AS30" s="309">
        <f>230*B30</f>
        <v>1840</v>
      </c>
      <c r="AT30" s="309">
        <f>AS30*16%</f>
        <v>294.40000000000003</v>
      </c>
      <c r="AU30" s="311">
        <f>AR30+AS30+AT30</f>
        <v>64782.400000000001</v>
      </c>
    </row>
    <row r="31" spans="2:47" s="281" customFormat="1" ht="12.75" hidden="1" customHeight="1">
      <c r="B31" s="292">
        <v>5</v>
      </c>
      <c r="C31" s="293"/>
      <c r="D31" s="294"/>
      <c r="E31" s="294"/>
      <c r="F31" s="312" t="s">
        <v>534</v>
      </c>
      <c r="G31" s="296" t="s">
        <v>535</v>
      </c>
      <c r="H31" s="301"/>
      <c r="I31" s="301"/>
      <c r="J31" s="301"/>
      <c r="K31" s="301"/>
      <c r="L31" s="301"/>
      <c r="M31" s="298">
        <v>46418</v>
      </c>
      <c r="N31" s="303" t="s">
        <v>536</v>
      </c>
      <c r="O31" s="323" t="s">
        <v>537</v>
      </c>
      <c r="P31" s="302">
        <v>0.49652777777777779</v>
      </c>
      <c r="Q31" s="302">
        <v>0.71875</v>
      </c>
      <c r="R31" s="301">
        <v>46419</v>
      </c>
      <c r="S31" s="302" t="s">
        <v>425</v>
      </c>
      <c r="T31" s="303" t="s">
        <v>426</v>
      </c>
      <c r="U31" s="302">
        <v>0.375</v>
      </c>
      <c r="V31" s="302">
        <v>0.52916666666666667</v>
      </c>
      <c r="W31" s="304">
        <v>46422</v>
      </c>
      <c r="X31" s="305" t="s">
        <v>538</v>
      </c>
      <c r="Y31" s="305" t="s">
        <v>428</v>
      </c>
      <c r="Z31" s="305">
        <v>0.77569444444444446</v>
      </c>
      <c r="AA31" s="305">
        <v>0.84375</v>
      </c>
      <c r="AB31" s="304">
        <v>46422</v>
      </c>
      <c r="AC31" s="314" t="s">
        <v>539</v>
      </c>
      <c r="AD31" s="314" t="s">
        <v>540</v>
      </c>
      <c r="AE31" s="305">
        <v>0.92361111111111116</v>
      </c>
      <c r="AF31" s="305">
        <v>0.99583333333333335</v>
      </c>
      <c r="AG31" s="305"/>
      <c r="AH31" s="305"/>
      <c r="AI31" s="305"/>
      <c r="AJ31" s="305"/>
      <c r="AK31" s="305"/>
      <c r="AL31" s="319" t="s">
        <v>431</v>
      </c>
      <c r="AM31" s="315"/>
      <c r="AN31" s="316"/>
      <c r="AO31" s="309">
        <f>4900*B31</f>
        <v>24500</v>
      </c>
      <c r="AP31" s="309">
        <f>784*B31</f>
        <v>3920</v>
      </c>
      <c r="AQ31" s="309">
        <f>SUM(2090+1900)*B31</f>
        <v>19950</v>
      </c>
      <c r="AR31" s="309">
        <f>AO31+AP31+AQ31</f>
        <v>48370</v>
      </c>
      <c r="AS31" s="309">
        <f>230*B31</f>
        <v>1150</v>
      </c>
      <c r="AT31" s="309">
        <f>AS31*16%</f>
        <v>184</v>
      </c>
      <c r="AU31" s="311">
        <f>AR31+AS31+AT31</f>
        <v>49704</v>
      </c>
    </row>
    <row r="32" spans="2:47" s="281" customFormat="1" ht="12.75" hidden="1" customHeight="1">
      <c r="B32" s="292">
        <v>27</v>
      </c>
      <c r="C32" s="293"/>
      <c r="D32" s="294"/>
      <c r="E32" s="294"/>
      <c r="F32" s="312" t="s">
        <v>541</v>
      </c>
      <c r="G32" s="296"/>
      <c r="H32" s="301"/>
      <c r="I32" s="301"/>
      <c r="J32" s="301"/>
      <c r="K32" s="301"/>
      <c r="L32" s="301"/>
      <c r="M32" s="301"/>
      <c r="N32" s="303"/>
      <c r="O32" s="323"/>
      <c r="P32" s="302"/>
      <c r="Q32" s="302"/>
      <c r="R32" s="301">
        <v>46419</v>
      </c>
      <c r="S32" s="302" t="s">
        <v>542</v>
      </c>
      <c r="T32" s="303" t="s">
        <v>543</v>
      </c>
      <c r="U32" s="302">
        <v>0.44097222222222221</v>
      </c>
      <c r="V32" s="302">
        <v>0.57916666666666672</v>
      </c>
      <c r="W32" s="304">
        <v>46422</v>
      </c>
      <c r="X32" s="305" t="s">
        <v>544</v>
      </c>
      <c r="Y32" s="305" t="s">
        <v>545</v>
      </c>
      <c r="Z32" s="305">
        <v>0.51527777777777772</v>
      </c>
      <c r="AA32" s="305">
        <v>0.57986111111111116</v>
      </c>
      <c r="AB32" s="313"/>
      <c r="AC32" s="314"/>
      <c r="AD32" s="314"/>
      <c r="AE32" s="305"/>
      <c r="AF32" s="305"/>
      <c r="AG32" s="305"/>
      <c r="AH32" s="305"/>
      <c r="AI32" s="305"/>
      <c r="AJ32" s="305"/>
      <c r="AK32" s="305"/>
      <c r="AL32" s="319" t="s">
        <v>457</v>
      </c>
      <c r="AM32" s="315"/>
      <c r="AN32" s="316"/>
      <c r="AO32" s="309">
        <f>5100*B32</f>
        <v>137700</v>
      </c>
      <c r="AP32" s="309">
        <f>816*B32</f>
        <v>22032</v>
      </c>
      <c r="AQ32" s="309">
        <f>SUM(1128+1314)*B32</f>
        <v>65934</v>
      </c>
      <c r="AR32" s="309">
        <f>AO32+AP32+AQ32</f>
        <v>225666</v>
      </c>
      <c r="AS32" s="309">
        <f>230*B32</f>
        <v>6210</v>
      </c>
      <c r="AT32" s="309">
        <f>AS32*16%</f>
        <v>993.6</v>
      </c>
      <c r="AU32" s="311">
        <f>AR32+AS32+AT32</f>
        <v>232869.6</v>
      </c>
    </row>
    <row r="33" spans="2:47" s="281" customFormat="1" ht="12.75" customHeight="1">
      <c r="B33" s="292">
        <v>12</v>
      </c>
      <c r="C33" s="293"/>
      <c r="D33" s="294"/>
      <c r="E33" s="294"/>
      <c r="F33" s="312" t="s">
        <v>546</v>
      </c>
      <c r="G33" s="296"/>
      <c r="H33" s="301"/>
      <c r="I33" s="301"/>
      <c r="J33" s="301"/>
      <c r="K33" s="301"/>
      <c r="L33" s="301"/>
      <c r="M33" s="301"/>
      <c r="N33" s="303"/>
      <c r="O33" s="323"/>
      <c r="P33" s="302"/>
      <c r="Q33" s="302"/>
      <c r="R33" s="301">
        <v>46419</v>
      </c>
      <c r="S33" s="302" t="s">
        <v>547</v>
      </c>
      <c r="T33" s="303" t="s">
        <v>548</v>
      </c>
      <c r="U33" s="302">
        <v>0.47916666666666669</v>
      </c>
      <c r="V33" s="302">
        <v>0.62083333333333335</v>
      </c>
      <c r="W33" s="304">
        <v>46422</v>
      </c>
      <c r="X33" s="305" t="s">
        <v>549</v>
      </c>
      <c r="Y33" s="305" t="s">
        <v>550</v>
      </c>
      <c r="Z33" s="305">
        <v>0.72499999999999998</v>
      </c>
      <c r="AA33" s="305">
        <v>0.79166666666666663</v>
      </c>
      <c r="AB33" s="313"/>
      <c r="AC33" s="314"/>
      <c r="AD33" s="314"/>
      <c r="AE33" s="305"/>
      <c r="AF33" s="305"/>
      <c r="AG33" s="305"/>
      <c r="AH33" s="305"/>
      <c r="AI33" s="305"/>
      <c r="AJ33" s="305"/>
      <c r="AK33" s="305"/>
      <c r="AL33" s="319" t="s">
        <v>457</v>
      </c>
      <c r="AM33" s="315"/>
      <c r="AN33" s="316"/>
      <c r="AO33" s="309">
        <f>4922*B33</f>
        <v>59064</v>
      </c>
      <c r="AP33" s="309">
        <f>788*B33</f>
        <v>9456</v>
      </c>
      <c r="AQ33" s="309">
        <f>SUM(1000+1224)*B33</f>
        <v>26688</v>
      </c>
      <c r="AR33" s="309">
        <f>AO33+AP33+AQ33</f>
        <v>95208</v>
      </c>
      <c r="AS33" s="309">
        <f>230*B33</f>
        <v>2760</v>
      </c>
      <c r="AT33" s="309">
        <f>AS33*16%</f>
        <v>441.6</v>
      </c>
      <c r="AU33" s="311">
        <f>AR33+AS33+AT33</f>
        <v>98409.600000000006</v>
      </c>
    </row>
    <row r="34" spans="2:47" s="281" customFormat="1" ht="12.75" hidden="1" customHeight="1">
      <c r="B34" s="292">
        <v>2</v>
      </c>
      <c r="C34" s="293"/>
      <c r="D34" s="294"/>
      <c r="E34" s="294"/>
      <c r="F34" s="312" t="s">
        <v>551</v>
      </c>
      <c r="G34" s="296" t="s">
        <v>552</v>
      </c>
      <c r="H34" s="301"/>
      <c r="I34" s="301"/>
      <c r="J34" s="301"/>
      <c r="K34" s="301"/>
      <c r="L34" s="301"/>
      <c r="M34" s="298">
        <v>46418</v>
      </c>
      <c r="N34" s="303" t="s">
        <v>553</v>
      </c>
      <c r="O34" s="323" t="s">
        <v>554</v>
      </c>
      <c r="P34" s="302">
        <v>0.64236111111111116</v>
      </c>
      <c r="Q34" s="302">
        <v>0.72222222222222221</v>
      </c>
      <c r="R34" s="301">
        <v>46419</v>
      </c>
      <c r="S34" s="302" t="s">
        <v>425</v>
      </c>
      <c r="T34" s="303" t="s">
        <v>426</v>
      </c>
      <c r="U34" s="302">
        <v>0.375</v>
      </c>
      <c r="V34" s="302">
        <v>0.52916666666666667</v>
      </c>
      <c r="W34" s="304">
        <v>46422</v>
      </c>
      <c r="X34" s="305" t="s">
        <v>479</v>
      </c>
      <c r="Y34" s="305" t="s">
        <v>428</v>
      </c>
      <c r="Z34" s="305">
        <v>0.35972222222222222</v>
      </c>
      <c r="AA34" s="305">
        <v>0.4236111111111111</v>
      </c>
      <c r="AB34" s="304">
        <v>46422</v>
      </c>
      <c r="AC34" s="314" t="s">
        <v>555</v>
      </c>
      <c r="AD34" s="314" t="s">
        <v>556</v>
      </c>
      <c r="AE34" s="305">
        <v>0.5</v>
      </c>
      <c r="AF34" s="305">
        <v>0.57916666666666672</v>
      </c>
      <c r="AG34" s="305"/>
      <c r="AH34" s="305"/>
      <c r="AI34" s="305"/>
      <c r="AJ34" s="305"/>
      <c r="AK34" s="305"/>
      <c r="AL34" s="319" t="s">
        <v>482</v>
      </c>
      <c r="AM34" s="315"/>
      <c r="AN34" s="316"/>
      <c r="AO34" s="309">
        <f>5204*B34</f>
        <v>10408</v>
      </c>
      <c r="AP34" s="309">
        <f>833*B34</f>
        <v>1666</v>
      </c>
      <c r="AQ34" s="309">
        <f>SUM(1833+1600)*B34</f>
        <v>6866</v>
      </c>
      <c r="AR34" s="309">
        <f>AO34+AP34+AQ34</f>
        <v>18940</v>
      </c>
      <c r="AS34" s="309">
        <f>230*B34</f>
        <v>460</v>
      </c>
      <c r="AT34" s="309">
        <f>AS34*16%</f>
        <v>73.600000000000009</v>
      </c>
      <c r="AU34" s="311">
        <f>AR34+AS34+AT34</f>
        <v>19473.599999999999</v>
      </c>
    </row>
    <row r="35" spans="2:47" s="281" customFormat="1" ht="12.75" hidden="1" customHeight="1">
      <c r="B35" s="292">
        <v>4</v>
      </c>
      <c r="C35" s="293"/>
      <c r="D35" s="294"/>
      <c r="E35" s="294"/>
      <c r="F35" s="312" t="s">
        <v>557</v>
      </c>
      <c r="G35" s="296"/>
      <c r="H35" s="301"/>
      <c r="I35" s="301"/>
      <c r="J35" s="301"/>
      <c r="K35" s="301"/>
      <c r="L35" s="301"/>
      <c r="M35" s="301"/>
      <c r="N35" s="303"/>
      <c r="O35" s="323"/>
      <c r="P35" s="302"/>
      <c r="Q35" s="302"/>
      <c r="R35" s="301">
        <v>46419</v>
      </c>
      <c r="S35" s="302" t="s">
        <v>558</v>
      </c>
      <c r="T35" s="303" t="s">
        <v>559</v>
      </c>
      <c r="U35" s="302">
        <v>0.37986111111111109</v>
      </c>
      <c r="V35" s="302">
        <v>0.58750000000000002</v>
      </c>
      <c r="W35" s="304">
        <v>46422</v>
      </c>
      <c r="X35" s="305" t="s">
        <v>560</v>
      </c>
      <c r="Y35" s="305" t="s">
        <v>561</v>
      </c>
      <c r="Z35" s="305">
        <v>0.54097222222222219</v>
      </c>
      <c r="AA35" s="305">
        <v>0.58750000000000002</v>
      </c>
      <c r="AB35" s="313"/>
      <c r="AC35" s="314"/>
      <c r="AD35" s="314"/>
      <c r="AE35" s="305"/>
      <c r="AF35" s="305"/>
      <c r="AG35" s="305"/>
      <c r="AH35" s="305"/>
      <c r="AI35" s="305"/>
      <c r="AJ35" s="305"/>
      <c r="AK35" s="305"/>
      <c r="AL35" s="319" t="s">
        <v>457</v>
      </c>
      <c r="AM35" s="315"/>
      <c r="AN35" s="316"/>
      <c r="AO35" s="309">
        <f>4800*B35</f>
        <v>19200</v>
      </c>
      <c r="AP35" s="309">
        <f>768*B35</f>
        <v>3072</v>
      </c>
      <c r="AQ35" s="309">
        <f>SUM(1214+1211)*B35</f>
        <v>9700</v>
      </c>
      <c r="AR35" s="309">
        <f>AO35+AP35+AQ35</f>
        <v>31972</v>
      </c>
      <c r="AS35" s="309">
        <f>230*B35</f>
        <v>920</v>
      </c>
      <c r="AT35" s="309">
        <f>AS35*16%</f>
        <v>147.20000000000002</v>
      </c>
      <c r="AU35" s="311">
        <f>AR35+AS35+AT35</f>
        <v>33039.199999999997</v>
      </c>
    </row>
    <row r="36" spans="2:47" s="281" customFormat="1" ht="12.75" hidden="1" customHeight="1">
      <c r="B36" s="292">
        <v>18</v>
      </c>
      <c r="C36" s="293"/>
      <c r="D36" s="294"/>
      <c r="E36" s="294"/>
      <c r="F36" s="312" t="s">
        <v>562</v>
      </c>
      <c r="G36" s="296"/>
      <c r="H36" s="301"/>
      <c r="I36" s="301"/>
      <c r="J36" s="301"/>
      <c r="K36" s="301"/>
      <c r="L36" s="301"/>
      <c r="M36" s="301"/>
      <c r="N36" s="303"/>
      <c r="O36" s="323"/>
      <c r="P36" s="302"/>
      <c r="Q36" s="302"/>
      <c r="R36" s="301">
        <v>46419</v>
      </c>
      <c r="S36" s="302" t="s">
        <v>563</v>
      </c>
      <c r="T36" s="303" t="s">
        <v>564</v>
      </c>
      <c r="U36" s="302">
        <v>0.3298611111111111</v>
      </c>
      <c r="V36" s="302">
        <v>0.46111111111111114</v>
      </c>
      <c r="W36" s="304">
        <v>46422</v>
      </c>
      <c r="X36" s="305" t="s">
        <v>565</v>
      </c>
      <c r="Y36" s="305" t="s">
        <v>566</v>
      </c>
      <c r="Z36" s="305">
        <v>0.49027777777777776</v>
      </c>
      <c r="AA36" s="305">
        <v>0.54236111111111107</v>
      </c>
      <c r="AB36" s="313"/>
      <c r="AC36" s="314"/>
      <c r="AD36" s="314"/>
      <c r="AE36" s="305"/>
      <c r="AF36" s="305"/>
      <c r="AG36" s="305"/>
      <c r="AH36" s="305"/>
      <c r="AI36" s="305"/>
      <c r="AJ36" s="305"/>
      <c r="AK36" s="305"/>
      <c r="AL36" s="319" t="s">
        <v>457</v>
      </c>
      <c r="AM36" s="315"/>
      <c r="AN36" s="316"/>
      <c r="AO36" s="309">
        <f>5300*B36</f>
        <v>95400</v>
      </c>
      <c r="AP36" s="309">
        <f>848*B36</f>
        <v>15264</v>
      </c>
      <c r="AQ36" s="309">
        <f>SUM(852+1211)*B36</f>
        <v>37134</v>
      </c>
      <c r="AR36" s="309">
        <f>AO36+AP36+AQ36</f>
        <v>147798</v>
      </c>
      <c r="AS36" s="309">
        <f>230*B36</f>
        <v>4140</v>
      </c>
      <c r="AT36" s="309">
        <f>AS36*16%</f>
        <v>662.4</v>
      </c>
      <c r="AU36" s="311">
        <f>AR36+AS36+AT36</f>
        <v>152600.4</v>
      </c>
    </row>
    <row r="37" spans="2:47" s="281" customFormat="1" ht="12.75" hidden="1" customHeight="1">
      <c r="B37" s="292">
        <v>10</v>
      </c>
      <c r="C37" s="293"/>
      <c r="D37" s="294"/>
      <c r="E37" s="294"/>
      <c r="F37" s="312" t="s">
        <v>567</v>
      </c>
      <c r="G37" s="296"/>
      <c r="H37" s="301"/>
      <c r="I37" s="301"/>
      <c r="J37" s="301"/>
      <c r="K37" s="301"/>
      <c r="L37" s="301"/>
      <c r="M37" s="301"/>
      <c r="N37" s="303"/>
      <c r="O37" s="323"/>
      <c r="P37" s="302"/>
      <c r="Q37" s="302"/>
      <c r="R37" s="301">
        <v>46419</v>
      </c>
      <c r="S37" s="302" t="s">
        <v>568</v>
      </c>
      <c r="T37" s="303" t="s">
        <v>569</v>
      </c>
      <c r="U37" s="302">
        <v>0.31666666666666665</v>
      </c>
      <c r="V37" s="302">
        <v>0.45347222222222222</v>
      </c>
      <c r="W37" s="304">
        <v>46422</v>
      </c>
      <c r="X37" s="305" t="s">
        <v>570</v>
      </c>
      <c r="Y37" s="305" t="s">
        <v>571</v>
      </c>
      <c r="Z37" s="305">
        <v>0.74236111111111114</v>
      </c>
      <c r="AA37" s="305">
        <v>0.80555555555555558</v>
      </c>
      <c r="AB37" s="313"/>
      <c r="AC37" s="314"/>
      <c r="AD37" s="314"/>
      <c r="AE37" s="305"/>
      <c r="AF37" s="305"/>
      <c r="AG37" s="305"/>
      <c r="AH37" s="305"/>
      <c r="AI37" s="305"/>
      <c r="AJ37" s="305"/>
      <c r="AK37" s="305"/>
      <c r="AL37" s="319" t="s">
        <v>457</v>
      </c>
      <c r="AM37" s="315"/>
      <c r="AN37" s="316"/>
      <c r="AO37" s="309">
        <f>4891*B37</f>
        <v>48910</v>
      </c>
      <c r="AP37" s="309">
        <f>783*B37</f>
        <v>7830</v>
      </c>
      <c r="AQ37" s="309">
        <f>SUM(765+1224)*B37</f>
        <v>19890</v>
      </c>
      <c r="AR37" s="309">
        <f>AO37+AP37+AQ37</f>
        <v>76630</v>
      </c>
      <c r="AS37" s="309">
        <f>230*B37</f>
        <v>2300</v>
      </c>
      <c r="AT37" s="309">
        <f>AS37*16%</f>
        <v>368</v>
      </c>
      <c r="AU37" s="311">
        <f>AR37+AS37+AT37</f>
        <v>79298</v>
      </c>
    </row>
    <row r="38" spans="2:47" s="281" customFormat="1" ht="12.75" hidden="1" customHeight="1">
      <c r="B38" s="292">
        <v>2</v>
      </c>
      <c r="C38" s="293"/>
      <c r="D38" s="294"/>
      <c r="E38" s="294"/>
      <c r="F38" s="312" t="s">
        <v>572</v>
      </c>
      <c r="G38" s="296" t="s">
        <v>573</v>
      </c>
      <c r="H38" s="301"/>
      <c r="I38" s="301"/>
      <c r="J38" s="301"/>
      <c r="K38" s="301"/>
      <c r="L38" s="301"/>
      <c r="M38" s="298">
        <v>46418</v>
      </c>
      <c r="N38" s="303" t="s">
        <v>574</v>
      </c>
      <c r="O38" s="323" t="s">
        <v>575</v>
      </c>
      <c r="P38" s="302">
        <v>0.69166666666666665</v>
      </c>
      <c r="Q38" s="302">
        <v>0.76736111111111116</v>
      </c>
      <c r="R38" s="301">
        <v>46419</v>
      </c>
      <c r="S38" s="302" t="s">
        <v>425</v>
      </c>
      <c r="T38" s="303" t="s">
        <v>426</v>
      </c>
      <c r="U38" s="302">
        <v>0.375</v>
      </c>
      <c r="V38" s="302">
        <v>0.52916666666666667</v>
      </c>
      <c r="W38" s="304">
        <v>46422</v>
      </c>
      <c r="X38" s="305" t="s">
        <v>493</v>
      </c>
      <c r="Y38" s="305" t="s">
        <v>428</v>
      </c>
      <c r="Z38" s="305">
        <v>0.51875000000000004</v>
      </c>
      <c r="AA38" s="305">
        <v>0.58680555555555558</v>
      </c>
      <c r="AB38" s="304">
        <v>46422</v>
      </c>
      <c r="AC38" s="314" t="s">
        <v>576</v>
      </c>
      <c r="AD38" s="314" t="s">
        <v>577</v>
      </c>
      <c r="AE38" s="305">
        <v>0.62847222222222221</v>
      </c>
      <c r="AF38" s="305">
        <v>0.69861111111111107</v>
      </c>
      <c r="AG38" s="305"/>
      <c r="AH38" s="305"/>
      <c r="AI38" s="305"/>
      <c r="AJ38" s="305"/>
      <c r="AK38" s="305"/>
      <c r="AL38" s="319"/>
      <c r="AM38" s="315"/>
      <c r="AN38" s="316"/>
      <c r="AO38" s="309">
        <f>5200*B38</f>
        <v>10400</v>
      </c>
      <c r="AP38" s="309">
        <f>832*B38</f>
        <v>1664</v>
      </c>
      <c r="AQ38" s="309">
        <f>SUM(1205+1600)*B38</f>
        <v>5610</v>
      </c>
      <c r="AR38" s="309">
        <f>AO38+AP38+AQ38</f>
        <v>17674</v>
      </c>
      <c r="AS38" s="309">
        <f>230*B38</f>
        <v>460</v>
      </c>
      <c r="AT38" s="309">
        <f>AS38*16%</f>
        <v>73.600000000000009</v>
      </c>
      <c r="AU38" s="311">
        <f>AR38+AS38+AT38</f>
        <v>18207.599999999999</v>
      </c>
    </row>
    <row r="39" spans="2:47" s="281" customFormat="1" ht="12.75" hidden="1" customHeight="1">
      <c r="B39" s="292">
        <v>1</v>
      </c>
      <c r="C39" s="293"/>
      <c r="D39" s="294"/>
      <c r="E39" s="294"/>
      <c r="F39" s="312" t="s">
        <v>578</v>
      </c>
      <c r="G39" s="296"/>
      <c r="H39" s="301"/>
      <c r="I39" s="302"/>
      <c r="J39" s="301"/>
      <c r="K39" s="300"/>
      <c r="L39" s="300"/>
      <c r="M39" s="301">
        <v>46419</v>
      </c>
      <c r="N39" s="303" t="s">
        <v>579</v>
      </c>
      <c r="O39" s="323" t="s">
        <v>580</v>
      </c>
      <c r="P39" s="302">
        <v>0.21527777777777779</v>
      </c>
      <c r="Q39" s="302">
        <v>0.2986111111111111</v>
      </c>
      <c r="R39" s="301">
        <v>46419</v>
      </c>
      <c r="S39" s="302" t="s">
        <v>542</v>
      </c>
      <c r="T39" s="303" t="s">
        <v>543</v>
      </c>
      <c r="U39" s="302">
        <v>0.44097222222222221</v>
      </c>
      <c r="V39" s="302">
        <v>0.57916666666666672</v>
      </c>
      <c r="W39" s="304">
        <v>46422</v>
      </c>
      <c r="X39" s="305" t="s">
        <v>544</v>
      </c>
      <c r="Y39" s="305" t="s">
        <v>545</v>
      </c>
      <c r="Z39" s="305">
        <v>0.51527777777777772</v>
      </c>
      <c r="AA39" s="305">
        <v>0.57986111111111116</v>
      </c>
      <c r="AB39" s="304">
        <v>46422</v>
      </c>
      <c r="AC39" s="314" t="s">
        <v>579</v>
      </c>
      <c r="AD39" s="314" t="s">
        <v>581</v>
      </c>
      <c r="AE39" s="305">
        <v>0.72916666666666663</v>
      </c>
      <c r="AF39" s="305">
        <v>0.8125</v>
      </c>
      <c r="AG39" s="313"/>
      <c r="AH39" s="305"/>
      <c r="AI39" s="305"/>
      <c r="AJ39" s="305"/>
      <c r="AK39" s="305"/>
      <c r="AL39" s="319" t="s">
        <v>582</v>
      </c>
      <c r="AM39" s="315"/>
      <c r="AN39" s="316"/>
      <c r="AO39" s="309">
        <f>5100*B39</f>
        <v>5100</v>
      </c>
      <c r="AP39" s="309">
        <f>816*B39</f>
        <v>816</v>
      </c>
      <c r="AQ39" s="309">
        <f>SUM(1128+1314+580)*B39</f>
        <v>3022</v>
      </c>
      <c r="AR39" s="309">
        <f>AO39+AP39+AQ39</f>
        <v>8938</v>
      </c>
      <c r="AS39" s="309">
        <f>230*B39</f>
        <v>230</v>
      </c>
      <c r="AT39" s="309">
        <f>AS39*16%</f>
        <v>36.800000000000004</v>
      </c>
      <c r="AU39" s="311">
        <f>AR39+AS39+AT39</f>
        <v>9204.7999999999993</v>
      </c>
    </row>
    <row r="40" spans="2:47" s="281" customFormat="1" ht="12.75" hidden="1" customHeight="1">
      <c r="B40" s="292">
        <v>5</v>
      </c>
      <c r="C40" s="293"/>
      <c r="D40" s="294"/>
      <c r="E40" s="294"/>
      <c r="F40" s="312" t="s">
        <v>583</v>
      </c>
      <c r="G40" s="296"/>
      <c r="H40" s="301"/>
      <c r="I40" s="301"/>
      <c r="J40" s="301"/>
      <c r="K40" s="301"/>
      <c r="L40" s="301"/>
      <c r="M40" s="301"/>
      <c r="N40" s="303"/>
      <c r="O40" s="323"/>
      <c r="P40" s="302"/>
      <c r="Q40" s="302"/>
      <c r="R40" s="301">
        <v>46419</v>
      </c>
      <c r="S40" s="302" t="s">
        <v>584</v>
      </c>
      <c r="T40" s="303" t="s">
        <v>585</v>
      </c>
      <c r="U40" s="302">
        <v>0.29166666666666669</v>
      </c>
      <c r="V40" s="302">
        <v>0.42916666666666664</v>
      </c>
      <c r="W40" s="304">
        <v>46422</v>
      </c>
      <c r="X40" s="305" t="s">
        <v>586</v>
      </c>
      <c r="Y40" s="305" t="s">
        <v>587</v>
      </c>
      <c r="Z40" s="305">
        <v>0.45833333333333331</v>
      </c>
      <c r="AA40" s="305">
        <v>0.52013888888888893</v>
      </c>
      <c r="AB40" s="313"/>
      <c r="AC40" s="314"/>
      <c r="AD40" s="314"/>
      <c r="AE40" s="305"/>
      <c r="AF40" s="305"/>
      <c r="AG40" s="305"/>
      <c r="AH40" s="305"/>
      <c r="AI40" s="305"/>
      <c r="AJ40" s="305"/>
      <c r="AK40" s="305"/>
      <c r="AL40" s="319" t="s">
        <v>457</v>
      </c>
      <c r="AM40" s="315"/>
      <c r="AN40" s="316"/>
      <c r="AO40" s="309">
        <f>4935*B40</f>
        <v>24675</v>
      </c>
      <c r="AP40" s="309">
        <f>790*B40</f>
        <v>3950</v>
      </c>
      <c r="AQ40" s="309">
        <f>SUM(1116+1353)*B40</f>
        <v>12345</v>
      </c>
      <c r="AR40" s="309">
        <f>AO40+AP40+AQ40</f>
        <v>40970</v>
      </c>
      <c r="AS40" s="309">
        <f>230*B40</f>
        <v>1150</v>
      </c>
      <c r="AT40" s="309">
        <f>AS40*16%</f>
        <v>184</v>
      </c>
      <c r="AU40" s="311">
        <f>AR40+AS40+AT40</f>
        <v>42304</v>
      </c>
    </row>
    <row r="41" spans="2:47" s="281" customFormat="1" ht="12.75" hidden="1" customHeight="1">
      <c r="B41" s="292">
        <v>7</v>
      </c>
      <c r="C41" s="293"/>
      <c r="D41" s="294"/>
      <c r="E41" s="294"/>
      <c r="F41" s="312" t="s">
        <v>588</v>
      </c>
      <c r="G41" s="296"/>
      <c r="H41" s="301"/>
      <c r="I41" s="301"/>
      <c r="J41" s="301"/>
      <c r="K41" s="301"/>
      <c r="L41" s="301"/>
      <c r="M41" s="301">
        <v>46419</v>
      </c>
      <c r="N41" s="303" t="s">
        <v>589</v>
      </c>
      <c r="O41" s="303" t="s">
        <v>590</v>
      </c>
      <c r="P41" s="302">
        <v>0.25694444444444442</v>
      </c>
      <c r="Q41" s="302">
        <v>0.3125</v>
      </c>
      <c r="R41" s="301">
        <v>46419</v>
      </c>
      <c r="S41" s="302" t="s">
        <v>591</v>
      </c>
      <c r="T41" s="303" t="s">
        <v>426</v>
      </c>
      <c r="U41" s="302">
        <v>0.41666666666666669</v>
      </c>
      <c r="V41" s="302">
        <v>0.56944444444444442</v>
      </c>
      <c r="W41" s="304">
        <v>46422</v>
      </c>
      <c r="X41" s="305" t="s">
        <v>493</v>
      </c>
      <c r="Y41" s="305" t="s">
        <v>428</v>
      </c>
      <c r="Z41" s="305">
        <v>0.52777777777777779</v>
      </c>
      <c r="AA41" s="305">
        <v>0.59027777777777779</v>
      </c>
      <c r="AB41" s="304">
        <v>46422</v>
      </c>
      <c r="AC41" s="314" t="s">
        <v>592</v>
      </c>
      <c r="AD41" s="314" t="s">
        <v>593</v>
      </c>
      <c r="AE41" s="305">
        <v>0.64583333333333337</v>
      </c>
      <c r="AF41" s="305">
        <v>0.7</v>
      </c>
      <c r="AG41" s="305"/>
      <c r="AH41" s="305"/>
      <c r="AI41" s="305"/>
      <c r="AJ41" s="305"/>
      <c r="AK41" s="305"/>
      <c r="AL41" s="309" t="s">
        <v>482</v>
      </c>
      <c r="AM41" s="315"/>
      <c r="AN41" s="316"/>
      <c r="AO41" s="309">
        <f>8699*B41</f>
        <v>60893</v>
      </c>
      <c r="AP41" s="309">
        <f>1392*B41</f>
        <v>9744</v>
      </c>
      <c r="AQ41" s="309">
        <f>SUM(1267+1600)*B41</f>
        <v>20069</v>
      </c>
      <c r="AR41" s="309">
        <f>AO41+AP41+AQ41</f>
        <v>90706</v>
      </c>
      <c r="AS41" s="309">
        <f>230*B41</f>
        <v>1610</v>
      </c>
      <c r="AT41" s="309">
        <f>AS41*16%</f>
        <v>257.60000000000002</v>
      </c>
      <c r="AU41" s="311">
        <f>AR41+AS41+AT41</f>
        <v>92573.6</v>
      </c>
    </row>
    <row r="42" spans="2:47" s="281" customFormat="1" ht="12.75" hidden="1" customHeight="1">
      <c r="B42" s="292">
        <v>10</v>
      </c>
      <c r="C42" s="293"/>
      <c r="D42" s="294"/>
      <c r="E42" s="294"/>
      <c r="F42" s="312" t="s">
        <v>594</v>
      </c>
      <c r="G42" s="296"/>
      <c r="H42" s="301"/>
      <c r="I42" s="301"/>
      <c r="J42" s="301"/>
      <c r="K42" s="301"/>
      <c r="L42" s="301"/>
      <c r="M42" s="301"/>
      <c r="N42" s="303"/>
      <c r="O42" s="323"/>
      <c r="P42" s="302"/>
      <c r="Q42" s="302"/>
      <c r="R42" s="301">
        <v>46419</v>
      </c>
      <c r="S42" s="302" t="s">
        <v>595</v>
      </c>
      <c r="T42" s="303" t="s">
        <v>596</v>
      </c>
      <c r="U42" s="302">
        <v>0.29166666666666669</v>
      </c>
      <c r="V42" s="302">
        <v>0.59791666666666665</v>
      </c>
      <c r="W42" s="304">
        <v>46422</v>
      </c>
      <c r="X42" s="305" t="s">
        <v>597</v>
      </c>
      <c r="Y42" s="305" t="s">
        <v>598</v>
      </c>
      <c r="Z42" s="305">
        <v>0.62986111111111109</v>
      </c>
      <c r="AA42" s="305">
        <v>0.70694444444444449</v>
      </c>
      <c r="AB42" s="313"/>
      <c r="AC42" s="314"/>
      <c r="AD42" s="314"/>
      <c r="AE42" s="305"/>
      <c r="AF42" s="305"/>
      <c r="AG42" s="305"/>
      <c r="AH42" s="305"/>
      <c r="AI42" s="305"/>
      <c r="AJ42" s="305"/>
      <c r="AK42" s="305"/>
      <c r="AL42" s="319" t="s">
        <v>457</v>
      </c>
      <c r="AM42" s="315"/>
      <c r="AN42" s="316"/>
      <c r="AO42" s="309">
        <f>12920*B42</f>
        <v>129200</v>
      </c>
      <c r="AP42" s="309">
        <f>2068*B42</f>
        <v>20680</v>
      </c>
      <c r="AQ42" s="309">
        <f>SUM(1001+1225)*B42</f>
        <v>22260</v>
      </c>
      <c r="AR42" s="309">
        <f>AO42+AP42+AQ42</f>
        <v>172140</v>
      </c>
      <c r="AS42" s="309">
        <f>230*B42</f>
        <v>2300</v>
      </c>
      <c r="AT42" s="309">
        <f>AS42*16%</f>
        <v>368</v>
      </c>
      <c r="AU42" s="311">
        <f>AR42+AS42+AT42</f>
        <v>174808</v>
      </c>
    </row>
    <row r="43" spans="2:47" s="281" customFormat="1" ht="12.75" hidden="1" customHeight="1">
      <c r="B43" s="292">
        <v>5</v>
      </c>
      <c r="C43" s="293"/>
      <c r="D43" s="294"/>
      <c r="E43" s="294"/>
      <c r="F43" s="312" t="s">
        <v>599</v>
      </c>
      <c r="G43" s="296"/>
      <c r="H43" s="301"/>
      <c r="I43" s="301"/>
      <c r="J43" s="301"/>
      <c r="K43" s="301"/>
      <c r="L43" s="301"/>
      <c r="M43" s="301">
        <v>46419</v>
      </c>
      <c r="N43" s="303" t="s">
        <v>600</v>
      </c>
      <c r="O43" s="323" t="s">
        <v>601</v>
      </c>
      <c r="P43" s="302">
        <v>0.27013888888888887</v>
      </c>
      <c r="Q43" s="302">
        <v>0.34375</v>
      </c>
      <c r="R43" s="301">
        <v>46419</v>
      </c>
      <c r="S43" s="302" t="s">
        <v>425</v>
      </c>
      <c r="T43" s="303" t="s">
        <v>426</v>
      </c>
      <c r="U43" s="302">
        <v>0.375</v>
      </c>
      <c r="V43" s="302">
        <v>0.52916666666666667</v>
      </c>
      <c r="W43" s="304">
        <v>46422</v>
      </c>
      <c r="X43" s="305" t="s">
        <v>468</v>
      </c>
      <c r="Y43" s="305" t="s">
        <v>428</v>
      </c>
      <c r="Z43" s="305">
        <v>0.47222222222222221</v>
      </c>
      <c r="AA43" s="305">
        <v>0.53819444444444442</v>
      </c>
      <c r="AB43" s="304">
        <v>46422</v>
      </c>
      <c r="AC43" s="314" t="s">
        <v>602</v>
      </c>
      <c r="AD43" s="314" t="s">
        <v>603</v>
      </c>
      <c r="AE43" s="305">
        <v>0.57986111111111116</v>
      </c>
      <c r="AF43" s="305">
        <v>0.65972222222222221</v>
      </c>
      <c r="AG43" s="305"/>
      <c r="AH43" s="305"/>
      <c r="AI43" s="305"/>
      <c r="AJ43" s="305"/>
      <c r="AK43" s="305"/>
      <c r="AL43" s="319" t="s">
        <v>482</v>
      </c>
      <c r="AM43" s="315"/>
      <c r="AN43" s="316"/>
      <c r="AO43" s="309">
        <f>6890*B43</f>
        <v>34450</v>
      </c>
      <c r="AP43" s="309">
        <f>1103*B43</f>
        <v>5515</v>
      </c>
      <c r="AQ43" s="309">
        <f>SUM(2481+1900)*B43</f>
        <v>21905</v>
      </c>
      <c r="AR43" s="309">
        <f>AO43+AP43+AQ43</f>
        <v>61870</v>
      </c>
      <c r="AS43" s="309">
        <f>230*B43</f>
        <v>1150</v>
      </c>
      <c r="AT43" s="309">
        <f>AS43*16%</f>
        <v>184</v>
      </c>
      <c r="AU43" s="311">
        <f>AR43+AS43+AT43</f>
        <v>63204</v>
      </c>
    </row>
    <row r="44" spans="2:47" s="281" customFormat="1" ht="12.75" hidden="1" customHeight="1">
      <c r="B44" s="292">
        <v>7</v>
      </c>
      <c r="C44" s="293"/>
      <c r="D44" s="294"/>
      <c r="E44" s="294"/>
      <c r="F44" s="312" t="s">
        <v>604</v>
      </c>
      <c r="G44" s="296"/>
      <c r="H44" s="301"/>
      <c r="I44" s="301"/>
      <c r="J44" s="301"/>
      <c r="K44" s="301"/>
      <c r="L44" s="301"/>
      <c r="M44" s="301"/>
      <c r="N44" s="303"/>
      <c r="O44" s="323"/>
      <c r="P44" s="302"/>
      <c r="Q44" s="302"/>
      <c r="R44" s="301">
        <v>46419</v>
      </c>
      <c r="S44" s="302" t="s">
        <v>605</v>
      </c>
      <c r="T44" s="303" t="s">
        <v>606</v>
      </c>
      <c r="U44" s="302">
        <v>0.43055555555555558</v>
      </c>
      <c r="V44" s="302">
        <v>0.54722222222222228</v>
      </c>
      <c r="W44" s="304">
        <v>46422</v>
      </c>
      <c r="X44" s="305" t="s">
        <v>607</v>
      </c>
      <c r="Y44" s="305" t="s">
        <v>608</v>
      </c>
      <c r="Z44" s="305">
        <v>0.5805555555555556</v>
      </c>
      <c r="AA44" s="305">
        <v>0.61111111111111116</v>
      </c>
      <c r="AB44" s="313"/>
      <c r="AC44" s="314"/>
      <c r="AD44" s="314"/>
      <c r="AE44" s="305"/>
      <c r="AF44" s="305"/>
      <c r="AG44" s="305"/>
      <c r="AH44" s="305"/>
      <c r="AI44" s="305"/>
      <c r="AJ44" s="305"/>
      <c r="AK44" s="305"/>
      <c r="AL44" s="319" t="s">
        <v>457</v>
      </c>
      <c r="AM44" s="315"/>
      <c r="AN44" s="316"/>
      <c r="AO44" s="309">
        <f>4699*B44</f>
        <v>32893</v>
      </c>
      <c r="AP44" s="309">
        <f>752*B44</f>
        <v>5264</v>
      </c>
      <c r="AQ44" s="309">
        <f>SUM(881+1133)*B44</f>
        <v>14098</v>
      </c>
      <c r="AR44" s="309">
        <f>AO44+AP44+AQ44</f>
        <v>52255</v>
      </c>
      <c r="AS44" s="309">
        <f>230*B44</f>
        <v>1610</v>
      </c>
      <c r="AT44" s="309">
        <f>AS44*16%</f>
        <v>257.60000000000002</v>
      </c>
      <c r="AU44" s="311">
        <f>AR44+AS44+AT44</f>
        <v>54122.6</v>
      </c>
    </row>
    <row r="45" spans="2:47" s="281" customFormat="1" ht="12.75" hidden="1" customHeight="1">
      <c r="B45" s="292">
        <v>10</v>
      </c>
      <c r="C45" s="293"/>
      <c r="D45" s="294"/>
      <c r="E45" s="294"/>
      <c r="F45" s="312" t="s">
        <v>609</v>
      </c>
      <c r="G45" s="296"/>
      <c r="H45" s="301"/>
      <c r="I45" s="301"/>
      <c r="J45" s="303"/>
      <c r="K45" s="301"/>
      <c r="L45" s="301"/>
      <c r="M45" s="301"/>
      <c r="N45" s="303"/>
      <c r="O45" s="303"/>
      <c r="P45" s="302"/>
      <c r="Q45" s="302"/>
      <c r="R45" s="301">
        <v>46419</v>
      </c>
      <c r="S45" s="302" t="s">
        <v>610</v>
      </c>
      <c r="T45" s="303" t="s">
        <v>611</v>
      </c>
      <c r="U45" s="302">
        <v>0.32013888888888886</v>
      </c>
      <c r="V45" s="302">
        <v>0.4375</v>
      </c>
      <c r="W45" s="304">
        <v>46422</v>
      </c>
      <c r="X45" s="305" t="s">
        <v>612</v>
      </c>
      <c r="Y45" s="305" t="s">
        <v>613</v>
      </c>
      <c r="Z45" s="305">
        <v>0.25</v>
      </c>
      <c r="AA45" s="305">
        <v>0.28402777777777777</v>
      </c>
      <c r="AB45" s="313"/>
      <c r="AC45" s="314"/>
      <c r="AD45" s="314"/>
      <c r="AE45" s="305"/>
      <c r="AF45" s="305"/>
      <c r="AG45" s="305"/>
      <c r="AH45" s="305"/>
      <c r="AI45" s="305"/>
      <c r="AJ45" s="305"/>
      <c r="AK45" s="305"/>
      <c r="AL45" s="319" t="s">
        <v>444</v>
      </c>
      <c r="AM45" s="315"/>
      <c r="AN45" s="316"/>
      <c r="AO45" s="309">
        <f>3999*B45</f>
        <v>39990</v>
      </c>
      <c r="AP45" s="309">
        <f>640*B45</f>
        <v>6400</v>
      </c>
      <c r="AQ45" s="309">
        <f>SUM(700)*B45</f>
        <v>7000</v>
      </c>
      <c r="AR45" s="309">
        <f>AO45+AP45+AQ45</f>
        <v>53390</v>
      </c>
      <c r="AS45" s="309">
        <f>230*B45</f>
        <v>2300</v>
      </c>
      <c r="AT45" s="309">
        <f>AS45*16%</f>
        <v>368</v>
      </c>
      <c r="AU45" s="311">
        <f>AR45+AS45+AT45</f>
        <v>56058</v>
      </c>
    </row>
    <row r="46" spans="2:47" s="281" customFormat="1" ht="12.75" hidden="1" customHeight="1">
      <c r="B46" s="292">
        <v>6</v>
      </c>
      <c r="C46" s="293"/>
      <c r="D46" s="294"/>
      <c r="E46" s="294"/>
      <c r="F46" s="312" t="s">
        <v>614</v>
      </c>
      <c r="G46" s="296"/>
      <c r="H46" s="301"/>
      <c r="I46" s="301"/>
      <c r="J46" s="301"/>
      <c r="K46" s="301"/>
      <c r="L46" s="301"/>
      <c r="M46" s="301">
        <v>46419</v>
      </c>
      <c r="N46" s="303" t="s">
        <v>615</v>
      </c>
      <c r="O46" s="323" t="s">
        <v>616</v>
      </c>
      <c r="P46" s="302">
        <v>0.27847222222222223</v>
      </c>
      <c r="Q46" s="302">
        <v>0.35416666666666669</v>
      </c>
      <c r="R46" s="301">
        <v>46419</v>
      </c>
      <c r="S46" s="302" t="s">
        <v>591</v>
      </c>
      <c r="T46" s="303" t="s">
        <v>426</v>
      </c>
      <c r="U46" s="302">
        <v>0.4201388888888889</v>
      </c>
      <c r="V46" s="302">
        <v>0.57430555555555551</v>
      </c>
      <c r="W46" s="304">
        <v>46422</v>
      </c>
      <c r="X46" s="305" t="s">
        <v>493</v>
      </c>
      <c r="Y46" s="305" t="s">
        <v>428</v>
      </c>
      <c r="Z46" s="305">
        <v>0.51875000000000004</v>
      </c>
      <c r="AA46" s="305">
        <v>0.58680555555555558</v>
      </c>
      <c r="AB46" s="304">
        <v>46422</v>
      </c>
      <c r="AC46" s="314" t="s">
        <v>617</v>
      </c>
      <c r="AD46" s="314" t="s">
        <v>618</v>
      </c>
      <c r="AE46" s="305">
        <v>0.62847222222222221</v>
      </c>
      <c r="AF46" s="305">
        <v>0.69513888888888886</v>
      </c>
      <c r="AG46" s="305"/>
      <c r="AH46" s="305"/>
      <c r="AI46" s="305"/>
      <c r="AJ46" s="305"/>
      <c r="AK46" s="305"/>
      <c r="AL46" s="319" t="s">
        <v>482</v>
      </c>
      <c r="AM46" s="315"/>
      <c r="AN46" s="316"/>
      <c r="AO46" s="309">
        <f>7200*B46</f>
        <v>43200</v>
      </c>
      <c r="AP46" s="309">
        <f>1152*B46</f>
        <v>6912</v>
      </c>
      <c r="AQ46" s="309">
        <f>SUM(1280+1900)*B46</f>
        <v>19080</v>
      </c>
      <c r="AR46" s="309">
        <f>AO46+AP46+AQ46</f>
        <v>69192</v>
      </c>
      <c r="AS46" s="309">
        <f>230*B46</f>
        <v>1380</v>
      </c>
      <c r="AT46" s="309">
        <f>AS46*16%</f>
        <v>220.8</v>
      </c>
      <c r="AU46" s="311">
        <f>AR46+AS46+AT46</f>
        <v>70792.800000000003</v>
      </c>
    </row>
    <row r="47" spans="2:47" s="281" customFormat="1" ht="12.75" hidden="1" customHeight="1">
      <c r="B47" s="292">
        <v>3</v>
      </c>
      <c r="C47" s="293"/>
      <c r="D47" s="294"/>
      <c r="E47" s="294"/>
      <c r="F47" s="312" t="s">
        <v>619</v>
      </c>
      <c r="G47" s="296"/>
      <c r="H47" s="301"/>
      <c r="I47" s="301"/>
      <c r="J47" s="303"/>
      <c r="K47" s="300"/>
      <c r="L47" s="300"/>
      <c r="M47" s="298">
        <v>46418</v>
      </c>
      <c r="N47" s="303" t="s">
        <v>514</v>
      </c>
      <c r="O47" s="303" t="s">
        <v>620</v>
      </c>
      <c r="P47" s="302">
        <v>0.75</v>
      </c>
      <c r="Q47" s="302">
        <v>0.8125</v>
      </c>
      <c r="R47" s="301">
        <v>46419</v>
      </c>
      <c r="S47" s="302" t="s">
        <v>610</v>
      </c>
      <c r="T47" s="303" t="s">
        <v>611</v>
      </c>
      <c r="U47" s="302">
        <v>0.32013888888888886</v>
      </c>
      <c r="V47" s="302">
        <v>0.4375</v>
      </c>
      <c r="W47" s="304">
        <v>46422</v>
      </c>
      <c r="X47" s="305" t="s">
        <v>612</v>
      </c>
      <c r="Y47" s="305" t="s">
        <v>613</v>
      </c>
      <c r="Z47" s="305">
        <v>0.25</v>
      </c>
      <c r="AA47" s="305">
        <v>0.28402777777777777</v>
      </c>
      <c r="AB47" s="304">
        <v>46422</v>
      </c>
      <c r="AC47" s="314" t="s">
        <v>514</v>
      </c>
      <c r="AD47" s="314" t="s">
        <v>621</v>
      </c>
      <c r="AE47" s="305">
        <v>0.41666666666666669</v>
      </c>
      <c r="AF47" s="305">
        <v>0.48194444444444445</v>
      </c>
      <c r="AG47" s="305"/>
      <c r="AH47" s="305"/>
      <c r="AI47" s="305"/>
      <c r="AJ47" s="305"/>
      <c r="AK47" s="305"/>
      <c r="AL47" s="319" t="s">
        <v>622</v>
      </c>
      <c r="AM47" s="315"/>
      <c r="AN47" s="316"/>
      <c r="AO47" s="309">
        <f>3999*B47</f>
        <v>11997</v>
      </c>
      <c r="AP47" s="309">
        <f>640*B47</f>
        <v>1920</v>
      </c>
      <c r="AQ47" s="309">
        <f>SUM(700+899)*B47</f>
        <v>4797</v>
      </c>
      <c r="AR47" s="309">
        <f>AO47+AP47+AQ47</f>
        <v>18714</v>
      </c>
      <c r="AS47" s="309">
        <f>230*B47</f>
        <v>690</v>
      </c>
      <c r="AT47" s="309">
        <f>AS47*16%</f>
        <v>110.4</v>
      </c>
      <c r="AU47" s="311">
        <f>AR47+AS47+AT47</f>
        <v>19514.400000000001</v>
      </c>
    </row>
    <row r="48" spans="2:47" s="281" customFormat="1" ht="12.75" hidden="1" customHeight="1">
      <c r="B48" s="324">
        <v>1</v>
      </c>
      <c r="C48" s="325"/>
      <c r="D48" s="326"/>
      <c r="E48" s="326"/>
      <c r="F48" s="327" t="s">
        <v>623</v>
      </c>
      <c r="G48" s="328"/>
      <c r="H48" s="329"/>
      <c r="I48" s="329"/>
      <c r="J48" s="330"/>
      <c r="K48" s="331"/>
      <c r="L48" s="331"/>
      <c r="M48" s="332">
        <v>46418</v>
      </c>
      <c r="N48" s="330" t="s">
        <v>514</v>
      </c>
      <c r="O48" s="330" t="s">
        <v>624</v>
      </c>
      <c r="P48" s="333">
        <v>0.55555555555555558</v>
      </c>
      <c r="Q48" s="333">
        <v>0.71527777777777779</v>
      </c>
      <c r="R48" s="329">
        <v>46419</v>
      </c>
      <c r="S48" s="333" t="s">
        <v>610</v>
      </c>
      <c r="T48" s="330" t="s">
        <v>611</v>
      </c>
      <c r="U48" s="333">
        <v>0.32013888888888886</v>
      </c>
      <c r="V48" s="333">
        <v>0.4375</v>
      </c>
      <c r="W48" s="334">
        <v>46422</v>
      </c>
      <c r="X48" s="335" t="s">
        <v>612</v>
      </c>
      <c r="Y48" s="335" t="s">
        <v>613</v>
      </c>
      <c r="Z48" s="335">
        <v>0.25</v>
      </c>
      <c r="AA48" s="335">
        <v>0.28402777777777777</v>
      </c>
      <c r="AB48" s="334">
        <v>46422</v>
      </c>
      <c r="AC48" s="336" t="s">
        <v>514</v>
      </c>
      <c r="AD48" s="336" t="s">
        <v>625</v>
      </c>
      <c r="AE48" s="335">
        <v>0.41666666666666669</v>
      </c>
      <c r="AF48" s="335">
        <v>0.57986111111111116</v>
      </c>
      <c r="AG48" s="337"/>
      <c r="AH48" s="335"/>
      <c r="AI48" s="335"/>
      <c r="AJ48" s="335"/>
      <c r="AK48" s="335"/>
      <c r="AL48" s="338" t="s">
        <v>622</v>
      </c>
      <c r="AM48" s="339"/>
      <c r="AN48" s="340"/>
      <c r="AO48" s="341">
        <f>3999*B48</f>
        <v>3999</v>
      </c>
      <c r="AP48" s="341">
        <f>640*B48</f>
        <v>640</v>
      </c>
      <c r="AQ48" s="341">
        <f>SUM(700+820)*B48</f>
        <v>1520</v>
      </c>
      <c r="AR48" s="341">
        <f>AO48+AP48+AQ48</f>
        <v>6159</v>
      </c>
      <c r="AS48" s="341">
        <f>230*B48</f>
        <v>230</v>
      </c>
      <c r="AT48" s="341">
        <f>AS48*16%</f>
        <v>36.800000000000004</v>
      </c>
      <c r="AU48" s="342">
        <f>AR48+AS48+AT48</f>
        <v>6425.8</v>
      </c>
    </row>
    <row r="49" spans="2:56" ht="12.75" hidden="1">
      <c r="AL49" s="493" t="s">
        <v>626</v>
      </c>
      <c r="AM49" s="494"/>
      <c r="AN49" s="495"/>
      <c r="AO49" s="343">
        <f>SUM(AO9:AO48)</f>
        <v>2202548</v>
      </c>
      <c r="AP49" s="343">
        <f>SUM(AP9:AP48)</f>
        <v>354625</v>
      </c>
      <c r="AQ49" s="343">
        <f>SUM(AQ9:AQ48)</f>
        <v>894879.6</v>
      </c>
      <c r="AR49" s="343">
        <f>SUM(AR9:AR48)</f>
        <v>3452052.6</v>
      </c>
      <c r="AS49" s="343">
        <f>SUM(AS9:AS48)</f>
        <v>95220</v>
      </c>
      <c r="AT49" s="343">
        <f>SUM(AT9:AT48)</f>
        <v>15235.2</v>
      </c>
      <c r="AU49" s="343">
        <f>SUM(AU9:AU48)</f>
        <v>3562507.8000000003</v>
      </c>
    </row>
    <row r="50" spans="2:56" s="282" customFormat="1" ht="12.75">
      <c r="B50" s="344"/>
      <c r="AL50" s="285"/>
      <c r="AM50" s="285"/>
      <c r="AN50" s="285"/>
      <c r="AO50" s="345"/>
      <c r="AP50" s="345"/>
      <c r="AQ50" s="345"/>
      <c r="AR50" s="345"/>
      <c r="AS50" s="345"/>
      <c r="AT50" s="345"/>
      <c r="AU50" s="345"/>
    </row>
    <row r="51" spans="2:56" ht="12.75">
      <c r="B51" s="286"/>
      <c r="C51" s="487" t="s">
        <v>627</v>
      </c>
      <c r="D51" s="488"/>
      <c r="E51" s="488"/>
      <c r="F51" s="489"/>
      <c r="AT51" s="287"/>
    </row>
    <row r="52" spans="2:56" ht="12.75" customHeight="1">
      <c r="B52" s="286"/>
      <c r="C52" s="280" t="s">
        <v>400</v>
      </c>
      <c r="D52" s="280" t="s">
        <v>400</v>
      </c>
      <c r="H52" s="487" t="s">
        <v>401</v>
      </c>
      <c r="I52" s="488"/>
      <c r="J52" s="488"/>
      <c r="K52" s="488"/>
      <c r="L52" s="488"/>
      <c r="M52" s="488"/>
      <c r="N52" s="488"/>
      <c r="O52" s="488"/>
      <c r="P52" s="488"/>
      <c r="Q52" s="489"/>
      <c r="R52" s="288"/>
      <c r="S52" s="288"/>
      <c r="T52" s="288"/>
      <c r="U52" s="288"/>
      <c r="V52" s="288"/>
      <c r="W52" s="487" t="s">
        <v>402</v>
      </c>
      <c r="X52" s="488"/>
      <c r="Y52" s="488"/>
      <c r="Z52" s="488"/>
      <c r="AA52" s="488"/>
      <c r="AB52" s="488"/>
      <c r="AC52" s="488"/>
      <c r="AD52" s="488"/>
      <c r="AE52" s="488"/>
      <c r="AF52" s="488"/>
      <c r="AG52" s="488"/>
      <c r="AH52" s="488"/>
      <c r="AI52" s="488"/>
      <c r="AJ52" s="488"/>
      <c r="AK52" s="489"/>
      <c r="AT52" s="287"/>
    </row>
    <row r="53" spans="2:56" ht="27">
      <c r="B53" s="346" t="s">
        <v>403</v>
      </c>
      <c r="C53" s="347" t="s">
        <v>404</v>
      </c>
      <c r="D53" s="348" t="s">
        <v>405</v>
      </c>
      <c r="E53" s="348" t="s">
        <v>406</v>
      </c>
      <c r="F53" s="348" t="s">
        <v>407</v>
      </c>
      <c r="G53" s="348" t="s">
        <v>408</v>
      </c>
      <c r="H53" s="348"/>
      <c r="I53" s="348"/>
      <c r="J53" s="348"/>
      <c r="K53" s="348"/>
      <c r="L53" s="348"/>
      <c r="M53" s="348" t="s">
        <v>409</v>
      </c>
      <c r="N53" s="348" t="s">
        <v>410</v>
      </c>
      <c r="O53" s="348" t="s">
        <v>411</v>
      </c>
      <c r="P53" s="348" t="s">
        <v>412</v>
      </c>
      <c r="Q53" s="348" t="s">
        <v>413</v>
      </c>
      <c r="R53" s="348"/>
      <c r="S53" s="348"/>
      <c r="T53" s="348"/>
      <c r="U53" s="348"/>
      <c r="V53" s="349"/>
      <c r="W53" s="350" t="s">
        <v>409</v>
      </c>
      <c r="X53" s="351" t="s">
        <v>410</v>
      </c>
      <c r="Y53" s="351" t="s">
        <v>411</v>
      </c>
      <c r="Z53" s="351" t="s">
        <v>412</v>
      </c>
      <c r="AA53" s="351" t="s">
        <v>413</v>
      </c>
      <c r="AB53" s="351" t="s">
        <v>409</v>
      </c>
      <c r="AC53" s="351" t="s">
        <v>410</v>
      </c>
      <c r="AD53" s="351" t="s">
        <v>411</v>
      </c>
      <c r="AE53" s="351" t="s">
        <v>412</v>
      </c>
      <c r="AF53" s="351" t="s">
        <v>413</v>
      </c>
      <c r="AG53" s="351" t="s">
        <v>409</v>
      </c>
      <c r="AH53" s="351" t="s">
        <v>410</v>
      </c>
      <c r="AI53" s="351" t="s">
        <v>411</v>
      </c>
      <c r="AJ53" s="351" t="s">
        <v>412</v>
      </c>
      <c r="AK53" s="351" t="s">
        <v>413</v>
      </c>
      <c r="AL53" s="347" t="s">
        <v>414</v>
      </c>
      <c r="AM53" s="348" t="s">
        <v>415</v>
      </c>
      <c r="AN53" s="348" t="s">
        <v>416</v>
      </c>
      <c r="AO53" s="348" t="s">
        <v>417</v>
      </c>
      <c r="AP53" s="348" t="s">
        <v>418</v>
      </c>
      <c r="AQ53" s="348" t="s">
        <v>419</v>
      </c>
      <c r="AR53" s="352" t="s">
        <v>70</v>
      </c>
      <c r="AS53" s="348" t="s">
        <v>420</v>
      </c>
      <c r="AT53" s="348" t="s">
        <v>418</v>
      </c>
      <c r="AU53" s="352" t="s">
        <v>70</v>
      </c>
    </row>
    <row r="54" spans="2:56" s="281" customFormat="1" ht="12.75" customHeight="1">
      <c r="B54" s="353">
        <v>1</v>
      </c>
      <c r="C54" s="354"/>
      <c r="D54" s="355"/>
      <c r="E54" s="355"/>
      <c r="F54" s="356"/>
      <c r="G54" s="357"/>
      <c r="H54" s="358"/>
      <c r="I54" s="358"/>
      <c r="J54" s="358"/>
      <c r="K54" s="358"/>
      <c r="L54" s="358"/>
      <c r="M54" s="359"/>
      <c r="N54" s="359"/>
      <c r="O54" s="359"/>
      <c r="P54" s="360"/>
      <c r="Q54" s="360"/>
      <c r="R54" s="360"/>
      <c r="S54" s="360"/>
      <c r="T54" s="360"/>
      <c r="U54" s="360"/>
      <c r="V54" s="360"/>
      <c r="W54" s="361"/>
      <c r="X54" s="361"/>
      <c r="Y54" s="361"/>
      <c r="Z54" s="361"/>
      <c r="AA54" s="361"/>
      <c r="AB54" s="362"/>
      <c r="AC54" s="363"/>
      <c r="AD54" s="363"/>
      <c r="AE54" s="361"/>
      <c r="AF54" s="361"/>
      <c r="AG54" s="361"/>
      <c r="AH54" s="361"/>
      <c r="AI54" s="361"/>
      <c r="AJ54" s="361"/>
      <c r="AK54" s="361"/>
      <c r="AL54" s="364"/>
      <c r="AM54" s="365"/>
      <c r="AN54" s="366"/>
      <c r="AO54" s="367"/>
      <c r="AP54" s="367"/>
      <c r="AQ54" s="367"/>
      <c r="AR54" s="368"/>
      <c r="AS54" s="369"/>
      <c r="AT54" s="369"/>
      <c r="AU54" s="310"/>
    </row>
    <row r="55" spans="2:56" s="281" customFormat="1" ht="12.75" customHeight="1">
      <c r="B55" s="370">
        <v>2</v>
      </c>
      <c r="C55" s="325"/>
      <c r="D55" s="326"/>
      <c r="E55" s="326"/>
      <c r="F55" s="327"/>
      <c r="G55" s="327"/>
      <c r="H55" s="371"/>
      <c r="I55" s="371"/>
      <c r="J55" s="371"/>
      <c r="K55" s="371"/>
      <c r="L55" s="371"/>
      <c r="M55" s="330"/>
      <c r="N55" s="372"/>
      <c r="O55" s="372"/>
      <c r="P55" s="333"/>
      <c r="Q55" s="333"/>
      <c r="R55" s="333"/>
      <c r="S55" s="333"/>
      <c r="T55" s="333"/>
      <c r="U55" s="333"/>
      <c r="V55" s="333"/>
      <c r="W55" s="335"/>
      <c r="X55" s="335"/>
      <c r="Y55" s="335"/>
      <c r="Z55" s="335"/>
      <c r="AA55" s="335"/>
      <c r="AB55" s="373"/>
      <c r="AC55" s="336"/>
      <c r="AD55" s="336"/>
      <c r="AE55" s="335"/>
      <c r="AF55" s="335"/>
      <c r="AG55" s="335"/>
      <c r="AH55" s="335"/>
      <c r="AI55" s="335"/>
      <c r="AJ55" s="335"/>
      <c r="AK55" s="335"/>
      <c r="AL55" s="341"/>
      <c r="AM55" s="339"/>
      <c r="AN55" s="340"/>
      <c r="AO55" s="374"/>
      <c r="AP55" s="374"/>
      <c r="AQ55" s="374"/>
      <c r="AR55" s="374"/>
      <c r="AS55" s="375"/>
      <c r="AT55" s="375"/>
      <c r="AU55" s="310">
        <f>SUM(AR55:AT55)</f>
        <v>0</v>
      </c>
    </row>
    <row r="56" spans="2:56" ht="12.75">
      <c r="AL56" s="493" t="s">
        <v>626</v>
      </c>
      <c r="AM56" s="494"/>
      <c r="AN56" s="495"/>
      <c r="AO56" s="343">
        <f>SUM(AO54:AO55)</f>
        <v>0</v>
      </c>
      <c r="AP56" s="343">
        <f>SUM(AP54:AP55)</f>
        <v>0</v>
      </c>
      <c r="AQ56" s="343">
        <f>SUM(AQ54:AQ55)</f>
        <v>0</v>
      </c>
      <c r="AR56" s="343">
        <f>SUM(AR54:AR55)</f>
        <v>0</v>
      </c>
      <c r="AS56" s="343">
        <f>SUM(AS54:AS55)</f>
        <v>0</v>
      </c>
      <c r="AT56" s="343">
        <f>SUM(AT54:AT55)</f>
        <v>0</v>
      </c>
      <c r="AU56" s="343">
        <f>SUM(AU54:AU55)</f>
        <v>0</v>
      </c>
    </row>
    <row r="57" spans="2:56" ht="12.75">
      <c r="B57" s="286"/>
      <c r="C57" s="487" t="s">
        <v>628</v>
      </c>
      <c r="D57" s="488"/>
      <c r="E57" s="488"/>
      <c r="F57" s="489"/>
      <c r="AT57" s="287"/>
    </row>
    <row r="58" spans="2:56" ht="12.75" customHeight="1">
      <c r="B58" s="286"/>
      <c r="C58" s="280" t="s">
        <v>400</v>
      </c>
      <c r="D58" s="280" t="s">
        <v>400</v>
      </c>
      <c r="H58" s="487" t="s">
        <v>401</v>
      </c>
      <c r="I58" s="488"/>
      <c r="J58" s="488"/>
      <c r="K58" s="488"/>
      <c r="L58" s="488"/>
      <c r="M58" s="488"/>
      <c r="N58" s="488"/>
      <c r="O58" s="488"/>
      <c r="P58" s="488"/>
      <c r="Q58" s="489"/>
      <c r="R58" s="288"/>
      <c r="S58" s="288"/>
      <c r="T58" s="288"/>
      <c r="U58" s="288"/>
      <c r="V58" s="288"/>
      <c r="W58" s="487" t="s">
        <v>402</v>
      </c>
      <c r="X58" s="488"/>
      <c r="Y58" s="48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9"/>
      <c r="AT58" s="287"/>
    </row>
    <row r="59" spans="2:56" ht="27">
      <c r="B59" s="346" t="s">
        <v>403</v>
      </c>
      <c r="C59" s="347" t="s">
        <v>404</v>
      </c>
      <c r="D59" s="348" t="s">
        <v>405</v>
      </c>
      <c r="E59" s="348" t="s">
        <v>406</v>
      </c>
      <c r="F59" s="348" t="s">
        <v>407</v>
      </c>
      <c r="G59" s="349" t="s">
        <v>408</v>
      </c>
      <c r="H59" s="350"/>
      <c r="I59" s="351"/>
      <c r="J59" s="351"/>
      <c r="K59" s="351"/>
      <c r="L59" s="351"/>
      <c r="M59" s="376" t="s">
        <v>409</v>
      </c>
      <c r="N59" s="347" t="s">
        <v>410</v>
      </c>
      <c r="O59" s="348" t="s">
        <v>411</v>
      </c>
      <c r="P59" s="348" t="s">
        <v>412</v>
      </c>
      <c r="Q59" s="348" t="s">
        <v>413</v>
      </c>
      <c r="R59" s="348" t="s">
        <v>409</v>
      </c>
      <c r="S59" s="348" t="s">
        <v>410</v>
      </c>
      <c r="T59" s="348" t="s">
        <v>411</v>
      </c>
      <c r="U59" s="348" t="s">
        <v>412</v>
      </c>
      <c r="V59" s="349" t="s">
        <v>413</v>
      </c>
      <c r="W59" s="350" t="s">
        <v>409</v>
      </c>
      <c r="X59" s="351" t="s">
        <v>410</v>
      </c>
      <c r="Y59" s="351" t="s">
        <v>411</v>
      </c>
      <c r="Z59" s="351" t="s">
        <v>412</v>
      </c>
      <c r="AA59" s="351" t="s">
        <v>413</v>
      </c>
      <c r="AB59" s="351" t="s">
        <v>409</v>
      </c>
      <c r="AC59" s="351" t="s">
        <v>410</v>
      </c>
      <c r="AD59" s="351" t="s">
        <v>411</v>
      </c>
      <c r="AE59" s="351" t="s">
        <v>412</v>
      </c>
      <c r="AF59" s="351" t="s">
        <v>413</v>
      </c>
      <c r="AG59" s="351" t="s">
        <v>409</v>
      </c>
      <c r="AH59" s="351" t="s">
        <v>410</v>
      </c>
      <c r="AI59" s="351" t="s">
        <v>411</v>
      </c>
      <c r="AJ59" s="351" t="s">
        <v>412</v>
      </c>
      <c r="AK59" s="351" t="s">
        <v>413</v>
      </c>
      <c r="AL59" s="347" t="s">
        <v>414</v>
      </c>
      <c r="AM59" s="348" t="s">
        <v>415</v>
      </c>
      <c r="AN59" s="348" t="s">
        <v>416</v>
      </c>
      <c r="AO59" s="348" t="s">
        <v>417</v>
      </c>
      <c r="AP59" s="348" t="s">
        <v>418</v>
      </c>
      <c r="AQ59" s="348" t="s">
        <v>419</v>
      </c>
      <c r="AR59" s="352" t="s">
        <v>70</v>
      </c>
      <c r="AS59" s="348" t="s">
        <v>420</v>
      </c>
      <c r="AT59" s="348" t="s">
        <v>418</v>
      </c>
      <c r="AU59" s="352" t="s">
        <v>70</v>
      </c>
    </row>
    <row r="60" spans="2:56" s="281" customFormat="1" ht="12.75" customHeight="1">
      <c r="B60" s="377">
        <v>1</v>
      </c>
      <c r="C60" s="378"/>
      <c r="D60" s="379"/>
      <c r="E60" s="379"/>
      <c r="F60" s="380"/>
      <c r="G60" s="381"/>
      <c r="H60" s="382"/>
      <c r="I60" s="382"/>
      <c r="J60" s="382"/>
      <c r="K60" s="382"/>
      <c r="L60" s="382"/>
      <c r="M60" s="383"/>
      <c r="N60" s="303"/>
      <c r="O60" s="303"/>
      <c r="P60" s="302"/>
      <c r="Q60" s="302"/>
      <c r="R60" s="303"/>
      <c r="S60" s="303"/>
      <c r="T60" s="303"/>
      <c r="U60" s="302"/>
      <c r="V60" s="302"/>
      <c r="W60" s="384"/>
      <c r="X60" s="384"/>
      <c r="Y60" s="385"/>
      <c r="Z60" s="386"/>
      <c r="AA60" s="386"/>
      <c r="AB60" s="387"/>
      <c r="AC60" s="387"/>
      <c r="AD60" s="387"/>
      <c r="AE60" s="387"/>
      <c r="AF60" s="387"/>
      <c r="AG60" s="388"/>
      <c r="AH60" s="388"/>
      <c r="AI60" s="388"/>
      <c r="AJ60" s="388"/>
      <c r="AK60" s="388"/>
      <c r="AL60" s="389"/>
      <c r="AM60" s="389"/>
      <c r="AN60" s="389"/>
      <c r="AO60" s="310">
        <v>0</v>
      </c>
      <c r="AP60" s="310">
        <v>0</v>
      </c>
      <c r="AQ60" s="310">
        <v>0</v>
      </c>
      <c r="AR60" s="310">
        <f>AO60+AP60+AQ60</f>
        <v>0</v>
      </c>
      <c r="AS60" s="310">
        <v>0</v>
      </c>
      <c r="AT60" s="310">
        <f>AS60*16%</f>
        <v>0</v>
      </c>
      <c r="AU60" s="390">
        <f>AR60+AS60+AT60</f>
        <v>0</v>
      </c>
    </row>
    <row r="61" spans="2:56" s="281" customFormat="1" ht="12.75" customHeight="1">
      <c r="B61" s="377">
        <v>2</v>
      </c>
      <c r="C61" s="391"/>
      <c r="D61" s="294"/>
      <c r="E61" s="294"/>
      <c r="F61" s="295"/>
      <c r="G61" s="296"/>
      <c r="H61" s="392"/>
      <c r="I61" s="392"/>
      <c r="J61" s="392"/>
      <c r="K61" s="392"/>
      <c r="L61" s="392"/>
      <c r="M61" s="393"/>
      <c r="N61" s="393"/>
      <c r="O61" s="303"/>
      <c r="P61" s="393"/>
      <c r="Q61" s="393"/>
      <c r="R61" s="303"/>
      <c r="S61" s="303"/>
      <c r="T61" s="303"/>
      <c r="U61" s="302"/>
      <c r="V61" s="302"/>
      <c r="W61" s="304"/>
      <c r="X61" s="314"/>
      <c r="Y61" s="314"/>
      <c r="Z61" s="305"/>
      <c r="AA61" s="305"/>
      <c r="AB61" s="394"/>
      <c r="AC61" s="394"/>
      <c r="AD61" s="394"/>
      <c r="AE61" s="394"/>
      <c r="AF61" s="394"/>
      <c r="AG61" s="394"/>
      <c r="AH61" s="394"/>
      <c r="AI61" s="394"/>
      <c r="AJ61" s="394"/>
      <c r="AK61" s="394"/>
      <c r="AL61" s="395"/>
      <c r="AM61" s="310"/>
      <c r="AN61" s="310"/>
      <c r="AO61" s="310">
        <v>0</v>
      </c>
      <c r="AP61" s="310">
        <v>0</v>
      </c>
      <c r="AQ61" s="310">
        <v>0</v>
      </c>
      <c r="AR61" s="310">
        <f>AO61+AP61+AQ61</f>
        <v>0</v>
      </c>
      <c r="AS61" s="310">
        <v>0</v>
      </c>
      <c r="AT61" s="310">
        <f>AS61*16%</f>
        <v>0</v>
      </c>
      <c r="AU61" s="390">
        <f>AR61+AS61+AT61</f>
        <v>0</v>
      </c>
    </row>
    <row r="62" spans="2:56" ht="12.75">
      <c r="AL62" s="493" t="s">
        <v>626</v>
      </c>
      <c r="AM62" s="494"/>
      <c r="AN62" s="495"/>
      <c r="AO62" s="343">
        <f>SUM(AO60:AO61)</f>
        <v>0</v>
      </c>
      <c r="AP62" s="343">
        <f>SUM(AP60:AP61)</f>
        <v>0</v>
      </c>
      <c r="AQ62" s="343">
        <f>SUM(AQ60:AQ61)</f>
        <v>0</v>
      </c>
      <c r="AR62" s="343">
        <f>SUM(AR60:AR61)</f>
        <v>0</v>
      </c>
      <c r="AS62" s="343">
        <f>SUM(AS60:AS61)</f>
        <v>0</v>
      </c>
      <c r="AT62" s="343">
        <f>SUM(AT60:AT61)</f>
        <v>0</v>
      </c>
      <c r="AU62" s="343">
        <f>SUM(AU60:AU61)</f>
        <v>0</v>
      </c>
    </row>
    <row r="63" spans="2:56" ht="12.75">
      <c r="C63" s="396"/>
      <c r="D63" s="396"/>
      <c r="E63" s="396"/>
      <c r="F63" s="396"/>
      <c r="G63" s="396"/>
      <c r="H63" s="396"/>
      <c r="I63" s="396"/>
      <c r="J63" s="396"/>
      <c r="K63" s="396"/>
      <c r="L63" s="396"/>
      <c r="Q63" s="280" t="s">
        <v>116</v>
      </c>
      <c r="AE63" s="397"/>
      <c r="BD63" s="398"/>
    </row>
    <row r="65" spans="2:58" ht="12.75">
      <c r="BE65" s="399"/>
      <c r="BF65" s="400"/>
    </row>
    <row r="66" spans="2:58" ht="14.45"/>
    <row r="67" spans="2:58" ht="12.75">
      <c r="B67" s="286"/>
      <c r="C67" s="487" t="s">
        <v>629</v>
      </c>
      <c r="D67" s="488"/>
      <c r="E67" s="488"/>
      <c r="F67" s="489"/>
      <c r="AT67" s="287"/>
    </row>
    <row r="68" spans="2:58" ht="12.75" customHeight="1">
      <c r="B68" s="286"/>
      <c r="C68" s="280" t="s">
        <v>400</v>
      </c>
      <c r="D68" s="280" t="s">
        <v>400</v>
      </c>
      <c r="H68" s="487" t="s">
        <v>401</v>
      </c>
      <c r="I68" s="488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9"/>
      <c r="W68" s="487" t="s">
        <v>402</v>
      </c>
      <c r="X68" s="488"/>
      <c r="Y68" s="488"/>
      <c r="Z68" s="488"/>
      <c r="AA68" s="488"/>
      <c r="AB68" s="488"/>
      <c r="AC68" s="488"/>
      <c r="AD68" s="488"/>
      <c r="AE68" s="488"/>
      <c r="AF68" s="488"/>
      <c r="AG68" s="488"/>
      <c r="AH68" s="488"/>
      <c r="AI68" s="488"/>
      <c r="AJ68" s="488"/>
      <c r="AK68" s="489"/>
      <c r="AT68" s="287"/>
    </row>
    <row r="69" spans="2:58" ht="27">
      <c r="B69" s="346" t="s">
        <v>403</v>
      </c>
      <c r="C69" s="347" t="s">
        <v>404</v>
      </c>
      <c r="D69" s="348" t="s">
        <v>405</v>
      </c>
      <c r="E69" s="348" t="s">
        <v>406</v>
      </c>
      <c r="F69" s="348" t="s">
        <v>407</v>
      </c>
      <c r="G69" s="348" t="s">
        <v>408</v>
      </c>
      <c r="H69" s="348"/>
      <c r="I69" s="348"/>
      <c r="J69" s="348"/>
      <c r="K69" s="348"/>
      <c r="L69" s="348"/>
      <c r="M69" s="348" t="s">
        <v>409</v>
      </c>
      <c r="N69" s="348" t="s">
        <v>410</v>
      </c>
      <c r="O69" s="348" t="s">
        <v>411</v>
      </c>
      <c r="P69" s="348" t="s">
        <v>412</v>
      </c>
      <c r="Q69" s="348" t="s">
        <v>413</v>
      </c>
      <c r="R69" s="348" t="s">
        <v>409</v>
      </c>
      <c r="S69" s="348" t="s">
        <v>410</v>
      </c>
      <c r="T69" s="348" t="s">
        <v>411</v>
      </c>
      <c r="U69" s="348" t="s">
        <v>412</v>
      </c>
      <c r="V69" s="348" t="s">
        <v>413</v>
      </c>
      <c r="W69" s="348" t="s">
        <v>409</v>
      </c>
      <c r="X69" s="348" t="s">
        <v>410</v>
      </c>
      <c r="Y69" s="348" t="s">
        <v>411</v>
      </c>
      <c r="Z69" s="348" t="s">
        <v>412</v>
      </c>
      <c r="AA69" s="348" t="s">
        <v>413</v>
      </c>
      <c r="AB69" s="348" t="s">
        <v>409</v>
      </c>
      <c r="AC69" s="348" t="s">
        <v>410</v>
      </c>
      <c r="AD69" s="348" t="s">
        <v>411</v>
      </c>
      <c r="AE69" s="348" t="s">
        <v>412</v>
      </c>
      <c r="AF69" s="348" t="s">
        <v>413</v>
      </c>
      <c r="AG69" s="348"/>
      <c r="AH69" s="348"/>
      <c r="AI69" s="348"/>
      <c r="AJ69" s="348"/>
      <c r="AK69" s="348"/>
      <c r="AL69" s="348" t="s">
        <v>414</v>
      </c>
      <c r="AM69" s="348" t="s">
        <v>415</v>
      </c>
      <c r="AN69" s="348" t="s">
        <v>416</v>
      </c>
      <c r="AO69" s="348" t="s">
        <v>417</v>
      </c>
      <c r="AP69" s="348" t="s">
        <v>418</v>
      </c>
      <c r="AQ69" s="348" t="s">
        <v>419</v>
      </c>
      <c r="AR69" s="352" t="s">
        <v>70</v>
      </c>
      <c r="AS69" s="348" t="s">
        <v>420</v>
      </c>
      <c r="AT69" s="348" t="s">
        <v>418</v>
      </c>
      <c r="AU69" s="352" t="s">
        <v>70</v>
      </c>
    </row>
    <row r="70" spans="2:58" ht="13.5">
      <c r="B70" s="401">
        <v>2</v>
      </c>
      <c r="C70" s="293"/>
      <c r="D70" s="294"/>
      <c r="E70" s="294"/>
      <c r="F70" s="312"/>
      <c r="G70" s="296"/>
      <c r="H70" s="392"/>
      <c r="I70" s="392"/>
      <c r="J70" s="392"/>
      <c r="K70" s="392"/>
      <c r="L70" s="392"/>
      <c r="M70" s="303"/>
      <c r="N70" s="303"/>
      <c r="O70" s="303"/>
      <c r="P70" s="302"/>
      <c r="Q70" s="302"/>
      <c r="R70" s="301">
        <v>46419</v>
      </c>
      <c r="S70" s="302" t="s">
        <v>455</v>
      </c>
      <c r="T70" s="303" t="s">
        <v>426</v>
      </c>
      <c r="U70" s="302">
        <v>0.375</v>
      </c>
      <c r="V70" s="302">
        <v>0.5083333333333333</v>
      </c>
      <c r="W70" s="304">
        <v>46422</v>
      </c>
      <c r="X70" s="305" t="s">
        <v>456</v>
      </c>
      <c r="Y70" s="305" t="s">
        <v>428</v>
      </c>
      <c r="Z70" s="305">
        <v>0.44791666666666669</v>
      </c>
      <c r="AA70" s="305">
        <v>0.88194444444444442</v>
      </c>
      <c r="AB70" s="304"/>
      <c r="AC70" s="314"/>
      <c r="AD70" s="314"/>
      <c r="AE70" s="305"/>
      <c r="AF70" s="305"/>
      <c r="AG70" s="305"/>
      <c r="AH70" s="305"/>
      <c r="AI70" s="305"/>
      <c r="AJ70" s="305"/>
      <c r="AK70" s="305"/>
      <c r="AL70" s="319" t="s">
        <v>457</v>
      </c>
      <c r="AM70" s="315"/>
      <c r="AN70" s="316"/>
      <c r="AO70" s="320">
        <f>6046*B70</f>
        <v>12092</v>
      </c>
      <c r="AP70" s="309">
        <f>968*B70</f>
        <v>1936</v>
      </c>
      <c r="AQ70" s="309">
        <f>SUM(1002+1353)*B70</f>
        <v>4710</v>
      </c>
      <c r="AR70" s="309">
        <f>AO70+AP70+AQ70</f>
        <v>18738</v>
      </c>
      <c r="AS70" s="309">
        <f>230*B70</f>
        <v>460</v>
      </c>
      <c r="AT70" s="309">
        <f>AS70*16%</f>
        <v>73.600000000000009</v>
      </c>
      <c r="AU70" s="311">
        <f>AR70+AS70+AT70</f>
        <v>19271.599999999999</v>
      </c>
    </row>
    <row r="71" spans="2:58" ht="12.75" customHeight="1">
      <c r="AL71" s="496" t="s">
        <v>626</v>
      </c>
      <c r="AM71" s="497"/>
      <c r="AN71" s="498"/>
      <c r="AO71" s="343">
        <f>SUM(AO70:AO70)</f>
        <v>12092</v>
      </c>
      <c r="AP71" s="343">
        <f>SUM(AP70:AP70)</f>
        <v>1936</v>
      </c>
      <c r="AQ71" s="343">
        <f>SUM(AQ70:AQ70)</f>
        <v>4710</v>
      </c>
      <c r="AR71" s="343">
        <f>SUM(AR70:AR70)</f>
        <v>18738</v>
      </c>
      <c r="AS71" s="343">
        <f>SUM(AS70:AS70)</f>
        <v>460</v>
      </c>
      <c r="AT71" s="343">
        <f>SUM(AT70:AT70)</f>
        <v>73.600000000000009</v>
      </c>
      <c r="AU71" s="343">
        <f>SUM(AU70:AU70)</f>
        <v>19271.599999999999</v>
      </c>
    </row>
    <row r="72" spans="2:58" ht="12.75">
      <c r="C72" s="396"/>
      <c r="D72" s="396"/>
      <c r="E72" s="396"/>
      <c r="F72" s="396"/>
      <c r="G72" s="396"/>
      <c r="H72" s="396"/>
      <c r="I72" s="396"/>
      <c r="J72" s="396"/>
      <c r="K72" s="396"/>
      <c r="L72" s="396"/>
      <c r="Q72" s="280" t="s">
        <v>116</v>
      </c>
      <c r="AE72" s="397"/>
      <c r="AT72" s="398"/>
    </row>
    <row r="73" spans="2:58" ht="14.45"/>
    <row r="74" spans="2:58" ht="12.75" customHeight="1">
      <c r="AL74" s="496" t="s">
        <v>626</v>
      </c>
      <c r="AM74" s="497"/>
      <c r="AN74" s="498"/>
      <c r="AO74" s="402">
        <f>AO62+AO71</f>
        <v>12092</v>
      </c>
      <c r="AP74" s="402">
        <f>AP62+AP71</f>
        <v>1936</v>
      </c>
      <c r="AQ74" s="402">
        <f>AQ62+AQ71</f>
        <v>4710</v>
      </c>
      <c r="AR74" s="402">
        <f>AR62+AR71</f>
        <v>18738</v>
      </c>
      <c r="AS74" s="402">
        <f>AS62+AS71</f>
        <v>460</v>
      </c>
      <c r="AT74" s="402">
        <f>AT62+AT71</f>
        <v>73.600000000000009</v>
      </c>
      <c r="AU74" s="402">
        <f>AU62+AU71</f>
        <v>19271.599999999999</v>
      </c>
    </row>
    <row r="75" spans="2:58" ht="12.75">
      <c r="AU75" s="399">
        <f>AU71-AT71-AP71</f>
        <v>17262</v>
      </c>
      <c r="AV75" s="400" t="s">
        <v>630</v>
      </c>
    </row>
  </sheetData>
  <autoFilter ref="A8:BF49" xr:uid="{96C4F138-78A7-46C1-B21B-5542A3300D62}">
    <filterColumn colId="5">
      <filters>
        <filter val="CD. MEXICO"/>
        <filter val="EDO. MEXICO"/>
        <filter val="MORELIA"/>
      </filters>
    </filterColumn>
  </autoFilter>
  <mergeCells count="20">
    <mergeCell ref="AL71:AN71"/>
    <mergeCell ref="AL74:AN74"/>
    <mergeCell ref="H58:Q58"/>
    <mergeCell ref="W58:AK58"/>
    <mergeCell ref="AL62:AN62"/>
    <mergeCell ref="C67:F67"/>
    <mergeCell ref="H68:V68"/>
    <mergeCell ref="W68:AK68"/>
    <mergeCell ref="AL49:AN49"/>
    <mergeCell ref="C51:F51"/>
    <mergeCell ref="H52:Q52"/>
    <mergeCell ref="W52:AK52"/>
    <mergeCell ref="AL56:AN56"/>
    <mergeCell ref="C57:F57"/>
    <mergeCell ref="B1:AU1"/>
    <mergeCell ref="B2:AU2"/>
    <mergeCell ref="B3:AU3"/>
    <mergeCell ref="C6:F6"/>
    <mergeCell ref="H7:V7"/>
    <mergeCell ref="W7:AK7"/>
  </mergeCells>
  <pageMargins left="0.70866141732283472" right="0.70866141732283472" top="0.74803149606299213" bottom="0.74803149606299213" header="0.31496062992125984" footer="0.31496062992125984"/>
  <pageSetup scale="3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79AD-25D9-40EE-BEB6-B7013509DBD4}">
  <dimension ref="A1:BF78"/>
  <sheetViews>
    <sheetView workbookViewId="0"/>
  </sheetViews>
  <sheetFormatPr defaultRowHeight="13.9"/>
  <cols>
    <col min="1" max="1" width="2.7109375" style="280" customWidth="1"/>
    <col min="2" max="2" width="4.28515625" style="283" customWidth="1"/>
    <col min="3" max="3" width="14.28515625" style="280" customWidth="1"/>
    <col min="4" max="4" width="16.5703125" style="280" customWidth="1"/>
    <col min="5" max="5" width="18.5703125" style="280" customWidth="1"/>
    <col min="6" max="6" width="15.28515625" style="280" bestFit="1" customWidth="1"/>
    <col min="7" max="7" width="51.5703125" style="280" customWidth="1"/>
    <col min="8" max="8" width="10.85546875" style="280" customWidth="1"/>
    <col min="9" max="9" width="14.28515625" style="280" customWidth="1"/>
    <col min="10" max="10" width="11" style="280" customWidth="1"/>
    <col min="11" max="11" width="10" style="280" customWidth="1"/>
    <col min="12" max="12" width="11.140625" style="280" customWidth="1"/>
    <col min="13" max="13" width="13.42578125" style="280" customWidth="1"/>
    <col min="14" max="14" width="11.7109375" style="280" customWidth="1"/>
    <col min="15" max="15" width="10.7109375" style="280" bestFit="1" customWidth="1"/>
    <col min="16" max="16" width="12.28515625" style="280" customWidth="1"/>
    <col min="17" max="17" width="9.28515625" style="280" bestFit="1" customWidth="1"/>
    <col min="18" max="18" width="12.7109375" style="280" bestFit="1" customWidth="1"/>
    <col min="19" max="19" width="9.28515625" style="280" bestFit="1" customWidth="1"/>
    <col min="20" max="20" width="9.85546875" style="280" bestFit="1" customWidth="1"/>
    <col min="21" max="22" width="9.28515625" style="280" bestFit="1" customWidth="1"/>
    <col min="23" max="23" width="12.7109375" style="280" bestFit="1" customWidth="1"/>
    <col min="24" max="24" width="10.7109375" style="280" bestFit="1" customWidth="1"/>
    <col min="25" max="25" width="9.85546875" style="280" bestFit="1" customWidth="1"/>
    <col min="26" max="27" width="9.28515625" style="280" bestFit="1" customWidth="1"/>
    <col min="28" max="28" width="13.42578125" style="280" bestFit="1" customWidth="1"/>
    <col min="29" max="29" width="14.42578125" style="280" bestFit="1" customWidth="1"/>
    <col min="30" max="30" width="15.7109375" style="280" bestFit="1" customWidth="1"/>
    <col min="31" max="31" width="12.5703125" style="280" bestFit="1" customWidth="1"/>
    <col min="32" max="33" width="11.28515625" style="280" customWidth="1"/>
    <col min="34" max="34" width="14.5703125" style="280" bestFit="1" customWidth="1"/>
    <col min="35" max="37" width="11.28515625" style="280" customWidth="1"/>
    <col min="38" max="38" width="44.7109375" style="280" bestFit="1" customWidth="1"/>
    <col min="39" max="39" width="10.7109375" style="280" customWidth="1"/>
    <col min="40" max="40" width="9.7109375" style="280" customWidth="1"/>
    <col min="41" max="41" width="16" style="280" bestFit="1" customWidth="1"/>
    <col min="42" max="42" width="15.28515625" style="280" bestFit="1" customWidth="1"/>
    <col min="43" max="43" width="15.5703125" style="280" bestFit="1" customWidth="1"/>
    <col min="44" max="44" width="17" style="280" bestFit="1" customWidth="1"/>
    <col min="45" max="45" width="14" style="280" bestFit="1" customWidth="1"/>
    <col min="46" max="46" width="13.28515625" style="280" bestFit="1" customWidth="1"/>
    <col min="47" max="47" width="17" style="280" bestFit="1" customWidth="1"/>
    <col min="48" max="48" width="17.5703125" style="280" customWidth="1"/>
    <col min="49" max="49" width="13.7109375" style="280" bestFit="1" customWidth="1"/>
    <col min="50" max="51" width="12.5703125" style="280" bestFit="1" customWidth="1"/>
    <col min="52" max="52" width="14.28515625" style="280" customWidth="1"/>
    <col min="53" max="53" width="12" style="280" customWidth="1"/>
    <col min="54" max="54" width="13" style="280" customWidth="1"/>
    <col min="55" max="56" width="9.28515625" style="280" bestFit="1" customWidth="1"/>
    <col min="57" max="57" width="12.7109375" style="280" customWidth="1"/>
    <col min="58" max="16384" width="9.140625" style="280"/>
  </cols>
  <sheetData>
    <row r="1" spans="1:52" ht="23.25">
      <c r="B1" s="485" t="s">
        <v>397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 s="485"/>
      <c r="AV1" s="284"/>
      <c r="AW1" s="284"/>
      <c r="AX1" s="284"/>
      <c r="AY1" s="284"/>
      <c r="AZ1" s="284"/>
    </row>
    <row r="2" spans="1:52" ht="23.25">
      <c r="B2" s="485" t="s">
        <v>631</v>
      </c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284"/>
      <c r="AW2" s="284"/>
      <c r="AX2" s="284"/>
      <c r="AY2" s="284"/>
      <c r="AZ2" s="284"/>
    </row>
    <row r="3" spans="1:52" ht="12.75">
      <c r="A3" s="283"/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6"/>
      <c r="AE3" s="486"/>
      <c r="AF3" s="486"/>
      <c r="AG3" s="486"/>
      <c r="AH3" s="486"/>
      <c r="AI3" s="486"/>
      <c r="AJ3" s="486"/>
      <c r="AK3" s="486"/>
      <c r="AL3" s="486"/>
      <c r="AM3" s="486"/>
      <c r="AN3" s="486"/>
      <c r="AO3" s="486"/>
      <c r="AP3" s="486"/>
      <c r="AQ3" s="486"/>
      <c r="AR3" s="486"/>
      <c r="AS3" s="486"/>
      <c r="AT3" s="486"/>
      <c r="AU3" s="486"/>
      <c r="AV3" s="284"/>
      <c r="AW3" s="284"/>
      <c r="AX3" s="284"/>
      <c r="AY3" s="284"/>
      <c r="AZ3" s="284"/>
    </row>
    <row r="4" spans="1:52" ht="12.75">
      <c r="B4" s="286"/>
      <c r="AT4" s="287"/>
    </row>
    <row r="5" spans="1:52" ht="12.75">
      <c r="B5" s="286"/>
      <c r="AT5" s="287"/>
    </row>
    <row r="6" spans="1:52" ht="12.75" customHeight="1">
      <c r="B6" s="286"/>
      <c r="C6" s="487" t="s">
        <v>399</v>
      </c>
      <c r="D6" s="488"/>
      <c r="E6" s="488"/>
      <c r="F6" s="489"/>
      <c r="AT6" s="287"/>
    </row>
    <row r="7" spans="1:52" ht="12.75" customHeight="1">
      <c r="B7" s="286"/>
      <c r="C7" s="280" t="s">
        <v>400</v>
      </c>
      <c r="D7" s="280" t="s">
        <v>400</v>
      </c>
      <c r="H7" s="490" t="s">
        <v>401</v>
      </c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2"/>
      <c r="W7" s="490" t="s">
        <v>402</v>
      </c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2"/>
      <c r="AT7" s="287"/>
    </row>
    <row r="8" spans="1:52" ht="27">
      <c r="B8" s="289" t="s">
        <v>403</v>
      </c>
      <c r="C8" s="290" t="s">
        <v>404</v>
      </c>
      <c r="D8" s="290" t="s">
        <v>405</v>
      </c>
      <c r="E8" s="290" t="s">
        <v>406</v>
      </c>
      <c r="F8" s="290" t="s">
        <v>407</v>
      </c>
      <c r="G8" s="290" t="s">
        <v>408</v>
      </c>
      <c r="H8" s="290" t="s">
        <v>409</v>
      </c>
      <c r="I8" s="290" t="s">
        <v>410</v>
      </c>
      <c r="J8" s="290" t="s">
        <v>411</v>
      </c>
      <c r="K8" s="290" t="s">
        <v>412</v>
      </c>
      <c r="L8" s="290" t="s">
        <v>413</v>
      </c>
      <c r="M8" s="290" t="s">
        <v>409</v>
      </c>
      <c r="N8" s="290" t="s">
        <v>410</v>
      </c>
      <c r="O8" s="290" t="s">
        <v>411</v>
      </c>
      <c r="P8" s="290" t="s">
        <v>412</v>
      </c>
      <c r="Q8" s="290" t="s">
        <v>413</v>
      </c>
      <c r="R8" s="290" t="s">
        <v>409</v>
      </c>
      <c r="S8" s="290" t="s">
        <v>410</v>
      </c>
      <c r="T8" s="290" t="s">
        <v>411</v>
      </c>
      <c r="U8" s="290" t="s">
        <v>412</v>
      </c>
      <c r="V8" s="290" t="s">
        <v>413</v>
      </c>
      <c r="W8" s="290" t="s">
        <v>409</v>
      </c>
      <c r="X8" s="290" t="s">
        <v>410</v>
      </c>
      <c r="Y8" s="290" t="s">
        <v>411</v>
      </c>
      <c r="Z8" s="290" t="s">
        <v>412</v>
      </c>
      <c r="AA8" s="290" t="s">
        <v>413</v>
      </c>
      <c r="AB8" s="290" t="s">
        <v>409</v>
      </c>
      <c r="AC8" s="290" t="s">
        <v>410</v>
      </c>
      <c r="AD8" s="290" t="s">
        <v>411</v>
      </c>
      <c r="AE8" s="290" t="s">
        <v>412</v>
      </c>
      <c r="AF8" s="290" t="s">
        <v>413</v>
      </c>
      <c r="AG8" s="290" t="s">
        <v>409</v>
      </c>
      <c r="AH8" s="290" t="s">
        <v>410</v>
      </c>
      <c r="AI8" s="290" t="s">
        <v>411</v>
      </c>
      <c r="AJ8" s="290" t="s">
        <v>412</v>
      </c>
      <c r="AK8" s="290" t="s">
        <v>413</v>
      </c>
      <c r="AL8" s="290" t="s">
        <v>414</v>
      </c>
      <c r="AM8" s="290" t="s">
        <v>415</v>
      </c>
      <c r="AN8" s="290" t="s">
        <v>416</v>
      </c>
      <c r="AO8" s="290" t="s">
        <v>417</v>
      </c>
      <c r="AP8" s="290" t="s">
        <v>418</v>
      </c>
      <c r="AQ8" s="290" t="s">
        <v>419</v>
      </c>
      <c r="AR8" s="290" t="s">
        <v>70</v>
      </c>
      <c r="AS8" s="290" t="s">
        <v>420</v>
      </c>
      <c r="AT8" s="290" t="s">
        <v>418</v>
      </c>
      <c r="AU8" s="291" t="s">
        <v>70</v>
      </c>
    </row>
    <row r="9" spans="1:52" s="281" customFormat="1" ht="12.75" customHeight="1">
      <c r="B9" s="292">
        <v>3</v>
      </c>
      <c r="C9" s="293"/>
      <c r="D9" s="294"/>
      <c r="E9" s="294"/>
      <c r="F9" s="295" t="s">
        <v>421</v>
      </c>
      <c r="G9" s="296" t="s">
        <v>632</v>
      </c>
      <c r="H9" s="297"/>
      <c r="I9" s="297"/>
      <c r="J9" s="297"/>
      <c r="K9" s="297"/>
      <c r="L9" s="297"/>
      <c r="M9" s="298">
        <v>46404</v>
      </c>
      <c r="N9" s="299" t="s">
        <v>423</v>
      </c>
      <c r="O9" s="299" t="s">
        <v>424</v>
      </c>
      <c r="P9" s="300">
        <v>0.8</v>
      </c>
      <c r="Q9" s="300">
        <v>0.85069444444444442</v>
      </c>
      <c r="R9" s="301">
        <v>46405</v>
      </c>
      <c r="S9" s="302" t="s">
        <v>425</v>
      </c>
      <c r="T9" s="303" t="s">
        <v>426</v>
      </c>
      <c r="U9" s="302">
        <v>0.375</v>
      </c>
      <c r="V9" s="302">
        <v>0.52916666666666667</v>
      </c>
      <c r="W9" s="304">
        <v>46408</v>
      </c>
      <c r="X9" s="305" t="s">
        <v>427</v>
      </c>
      <c r="Y9" s="305" t="s">
        <v>428</v>
      </c>
      <c r="Z9" s="305">
        <v>0.59166666666666667</v>
      </c>
      <c r="AA9" s="305">
        <v>0.65972222222222221</v>
      </c>
      <c r="AB9" s="304">
        <v>46408</v>
      </c>
      <c r="AC9" s="306" t="s">
        <v>429</v>
      </c>
      <c r="AD9" s="306" t="s">
        <v>430</v>
      </c>
      <c r="AE9" s="307">
        <v>0.70833333333333337</v>
      </c>
      <c r="AF9" s="307">
        <v>0.75694444444444442</v>
      </c>
      <c r="AG9" s="307"/>
      <c r="AH9" s="308"/>
      <c r="AI9" s="308"/>
      <c r="AJ9" s="308"/>
      <c r="AK9" s="308"/>
      <c r="AL9" s="309" t="s">
        <v>431</v>
      </c>
      <c r="AM9" s="310"/>
      <c r="AN9" s="310"/>
      <c r="AO9" s="309">
        <f>SUM(6224)*B9</f>
        <v>18672</v>
      </c>
      <c r="AP9" s="309">
        <f>SUM(996)*B9</f>
        <v>2988</v>
      </c>
      <c r="AQ9" s="309">
        <f>SUM(2285+1600)*B9</f>
        <v>11655</v>
      </c>
      <c r="AR9" s="309">
        <f>AO9+AP9+AQ9</f>
        <v>33315</v>
      </c>
      <c r="AS9" s="309">
        <f>230*B9</f>
        <v>690</v>
      </c>
      <c r="AT9" s="309">
        <f>AS9*16%</f>
        <v>110.4</v>
      </c>
      <c r="AU9" s="311">
        <f>AR9+AS9+AT9</f>
        <v>34115.4</v>
      </c>
    </row>
    <row r="10" spans="1:52" s="281" customFormat="1" ht="12.75" customHeight="1">
      <c r="B10" s="292">
        <v>3</v>
      </c>
      <c r="C10" s="293"/>
      <c r="D10" s="294"/>
      <c r="E10" s="294"/>
      <c r="F10" s="312" t="s">
        <v>432</v>
      </c>
      <c r="G10" s="296"/>
      <c r="H10" s="297"/>
      <c r="I10" s="297"/>
      <c r="J10" s="297"/>
      <c r="K10" s="297"/>
      <c r="L10" s="297"/>
      <c r="M10" s="301">
        <v>46405</v>
      </c>
      <c r="N10" s="303" t="s">
        <v>433</v>
      </c>
      <c r="O10" s="303" t="s">
        <v>434</v>
      </c>
      <c r="P10" s="302">
        <v>0.26041666666666669</v>
      </c>
      <c r="Q10" s="302">
        <v>0.30902777777777779</v>
      </c>
      <c r="R10" s="301">
        <v>46405</v>
      </c>
      <c r="S10" s="302" t="s">
        <v>425</v>
      </c>
      <c r="T10" s="303" t="s">
        <v>426</v>
      </c>
      <c r="U10" s="302">
        <v>0.375</v>
      </c>
      <c r="V10" s="302">
        <v>0.52916666666666667</v>
      </c>
      <c r="W10" s="304">
        <v>46408</v>
      </c>
      <c r="X10" s="305" t="s">
        <v>435</v>
      </c>
      <c r="Y10" s="305" t="s">
        <v>436</v>
      </c>
      <c r="Z10" s="305">
        <v>0.69166666666666665</v>
      </c>
      <c r="AA10" s="305">
        <v>0.76041666666666663</v>
      </c>
      <c r="AB10" s="313"/>
      <c r="AC10" s="314"/>
      <c r="AD10" s="314"/>
      <c r="AE10" s="305"/>
      <c r="AF10" s="305"/>
      <c r="AG10" s="305"/>
      <c r="AH10" s="305"/>
      <c r="AI10" s="305"/>
      <c r="AJ10" s="305"/>
      <c r="AK10" s="305"/>
      <c r="AL10" s="309" t="s">
        <v>437</v>
      </c>
      <c r="AM10" s="315"/>
      <c r="AN10" s="316"/>
      <c r="AO10" s="309">
        <f>SUM(3131+3204)*B10</f>
        <v>19005</v>
      </c>
      <c r="AP10" s="309">
        <f>SUM(501+513)*B10</f>
        <v>3042</v>
      </c>
      <c r="AQ10" s="309">
        <f>SUM(1000+800+382+657)*B10</f>
        <v>8517</v>
      </c>
      <c r="AR10" s="309">
        <f>AO10+AP10+AQ10</f>
        <v>30564</v>
      </c>
      <c r="AS10" s="309">
        <f>230*B10</f>
        <v>690</v>
      </c>
      <c r="AT10" s="309">
        <f>AS10*16%</f>
        <v>110.4</v>
      </c>
      <c r="AU10" s="311">
        <f>AR10+AS10+AT10</f>
        <v>31364.400000000001</v>
      </c>
    </row>
    <row r="11" spans="1:52" s="281" customFormat="1" ht="12.75" customHeight="1">
      <c r="B11" s="292">
        <v>4</v>
      </c>
      <c r="C11" s="293"/>
      <c r="D11" s="294"/>
      <c r="E11" s="294"/>
      <c r="F11" s="312" t="s">
        <v>438</v>
      </c>
      <c r="G11" s="317" t="s">
        <v>439</v>
      </c>
      <c r="H11" s="318"/>
      <c r="I11" s="318"/>
      <c r="J11" s="318"/>
      <c r="K11" s="318"/>
      <c r="L11" s="318"/>
      <c r="M11" s="301"/>
      <c r="N11" s="303"/>
      <c r="O11" s="303"/>
      <c r="P11" s="302"/>
      <c r="Q11" s="302"/>
      <c r="R11" s="301">
        <v>46405</v>
      </c>
      <c r="S11" s="302" t="s">
        <v>440</v>
      </c>
      <c r="T11" s="303" t="s">
        <v>441</v>
      </c>
      <c r="U11" s="302">
        <v>0.43402777777777779</v>
      </c>
      <c r="V11" s="302">
        <v>0.57986111111111116</v>
      </c>
      <c r="W11" s="304">
        <v>46408</v>
      </c>
      <c r="X11" s="305" t="s">
        <v>442</v>
      </c>
      <c r="Y11" s="305" t="s">
        <v>443</v>
      </c>
      <c r="Z11" s="305">
        <v>0.60763888888888884</v>
      </c>
      <c r="AA11" s="305">
        <v>0.67777777777777781</v>
      </c>
      <c r="AB11" s="313"/>
      <c r="AC11" s="314"/>
      <c r="AD11" s="314"/>
      <c r="AE11" s="305"/>
      <c r="AF11" s="305"/>
      <c r="AG11" s="305"/>
      <c r="AH11" s="305"/>
      <c r="AI11" s="305"/>
      <c r="AJ11" s="305"/>
      <c r="AK11" s="305"/>
      <c r="AL11" s="309" t="s">
        <v>444</v>
      </c>
      <c r="AM11" s="315"/>
      <c r="AN11" s="316"/>
      <c r="AO11" s="309">
        <f>5100*B11</f>
        <v>20400</v>
      </c>
      <c r="AP11" s="309">
        <f>816*B11</f>
        <v>3264</v>
      </c>
      <c r="AQ11" s="309">
        <f>SUM(1924)*B11</f>
        <v>7696</v>
      </c>
      <c r="AR11" s="309">
        <f>AO11+AP11+AQ11</f>
        <v>31360</v>
      </c>
      <c r="AS11" s="309">
        <f>230*B11</f>
        <v>920</v>
      </c>
      <c r="AT11" s="309">
        <f>AS11*16%</f>
        <v>147.20000000000002</v>
      </c>
      <c r="AU11" s="311">
        <f>AR11+AS11+AT11</f>
        <v>32427.200000000001</v>
      </c>
    </row>
    <row r="12" spans="1:52" s="281" customFormat="1" ht="12.75" customHeight="1">
      <c r="B12" s="292">
        <v>7</v>
      </c>
      <c r="C12" s="293"/>
      <c r="D12" s="294"/>
      <c r="E12" s="294"/>
      <c r="F12" s="312" t="s">
        <v>445</v>
      </c>
      <c r="G12" s="296"/>
      <c r="H12" s="297"/>
      <c r="I12" s="297"/>
      <c r="J12" s="297"/>
      <c r="K12" s="297"/>
      <c r="L12" s="297"/>
      <c r="M12" s="301"/>
      <c r="N12" s="303"/>
      <c r="O12" s="303"/>
      <c r="P12" s="302"/>
      <c r="Q12" s="302"/>
      <c r="R12" s="301">
        <v>46405</v>
      </c>
      <c r="S12" s="302" t="s">
        <v>446</v>
      </c>
      <c r="T12" s="303" t="s">
        <v>447</v>
      </c>
      <c r="U12" s="302">
        <v>0.35555555555555557</v>
      </c>
      <c r="V12" s="302">
        <v>0.52430555555555558</v>
      </c>
      <c r="W12" s="304">
        <v>46408</v>
      </c>
      <c r="X12" s="305" t="s">
        <v>493</v>
      </c>
      <c r="Y12" s="305" t="s">
        <v>428</v>
      </c>
      <c r="Z12" s="305">
        <v>0.51875000000000004</v>
      </c>
      <c r="AA12" s="305">
        <v>0.58680555555555558</v>
      </c>
      <c r="AB12" s="304">
        <v>46408</v>
      </c>
      <c r="AC12" s="314" t="s">
        <v>633</v>
      </c>
      <c r="AD12" s="314" t="s">
        <v>450</v>
      </c>
      <c r="AE12" s="305">
        <v>0.625</v>
      </c>
      <c r="AF12" s="305">
        <v>0.72777777777777775</v>
      </c>
      <c r="AG12" s="305"/>
      <c r="AH12" s="305"/>
      <c r="AI12" s="305"/>
      <c r="AJ12" s="305"/>
      <c r="AK12" s="305"/>
      <c r="AL12" s="309" t="s">
        <v>451</v>
      </c>
      <c r="AM12" s="315"/>
      <c r="AN12" s="316"/>
      <c r="AO12" s="309">
        <f>SUM(2900+3200)*B12</f>
        <v>42700</v>
      </c>
      <c r="AP12" s="309">
        <f>SUM(464+512)*B12</f>
        <v>6832</v>
      </c>
      <c r="AQ12" s="309">
        <f>SUM(1147+1437+800)*B12</f>
        <v>23688</v>
      </c>
      <c r="AR12" s="309">
        <f>AO12+AP12+AQ12</f>
        <v>73220</v>
      </c>
      <c r="AS12" s="309">
        <f>230*B12</f>
        <v>1610</v>
      </c>
      <c r="AT12" s="309">
        <f>AS12*16%</f>
        <v>257.60000000000002</v>
      </c>
      <c r="AU12" s="311">
        <f>AR12+AS12+AT12</f>
        <v>75087.600000000006</v>
      </c>
    </row>
    <row r="13" spans="1:52" s="281" customFormat="1" ht="12.75" customHeight="1">
      <c r="B13" s="292">
        <v>70</v>
      </c>
      <c r="C13" s="293"/>
      <c r="D13" s="294"/>
      <c r="E13" s="294"/>
      <c r="F13" s="312" t="s">
        <v>452</v>
      </c>
      <c r="G13" s="296"/>
      <c r="H13" s="301"/>
      <c r="I13" s="301"/>
      <c r="J13" s="301"/>
      <c r="K13" s="301"/>
      <c r="L13" s="301"/>
      <c r="M13" s="301"/>
      <c r="N13" s="303"/>
      <c r="O13" s="303"/>
      <c r="P13" s="302"/>
      <c r="Q13" s="302"/>
      <c r="R13" s="301">
        <v>46405</v>
      </c>
      <c r="S13" s="302" t="s">
        <v>453</v>
      </c>
      <c r="T13" s="303" t="s">
        <v>426</v>
      </c>
      <c r="U13" s="302">
        <v>0.4375</v>
      </c>
      <c r="V13" s="302">
        <v>0.56597222222222221</v>
      </c>
      <c r="W13" s="304">
        <v>46408</v>
      </c>
      <c r="X13" s="305" t="s">
        <v>634</v>
      </c>
      <c r="Y13" s="305" t="s">
        <v>428</v>
      </c>
      <c r="Z13" s="305">
        <v>0.43055555555555558</v>
      </c>
      <c r="AA13" s="305">
        <v>0.48958333333333331</v>
      </c>
      <c r="AB13" s="304"/>
      <c r="AC13" s="314"/>
      <c r="AD13" s="314"/>
      <c r="AE13" s="305"/>
      <c r="AF13" s="305"/>
      <c r="AG13" s="305"/>
      <c r="AH13" s="305"/>
      <c r="AI13" s="305"/>
      <c r="AJ13" s="305"/>
      <c r="AK13" s="305"/>
      <c r="AL13" s="319" t="s">
        <v>444</v>
      </c>
      <c r="AM13" s="315"/>
      <c r="AN13" s="316"/>
      <c r="AO13" s="309">
        <f>3940*B13</f>
        <v>275800</v>
      </c>
      <c r="AP13" s="309">
        <f>631*B13</f>
        <v>44170</v>
      </c>
      <c r="AQ13" s="309">
        <f>2176*B13</f>
        <v>152320</v>
      </c>
      <c r="AR13" s="309">
        <f>AO13+AP13+AQ13</f>
        <v>472290</v>
      </c>
      <c r="AS13" s="309">
        <f>230*B13</f>
        <v>16100</v>
      </c>
      <c r="AT13" s="309">
        <f>AS13*16%</f>
        <v>2576</v>
      </c>
      <c r="AU13" s="311">
        <f>AR13+AS13+AT13</f>
        <v>490966</v>
      </c>
    </row>
    <row r="14" spans="1:52" s="281" customFormat="1" ht="12.75" customHeight="1">
      <c r="B14" s="292">
        <v>70</v>
      </c>
      <c r="C14" s="293"/>
      <c r="D14" s="294"/>
      <c r="E14" s="294"/>
      <c r="F14" s="312" t="s">
        <v>452</v>
      </c>
      <c r="G14" s="296"/>
      <c r="H14" s="301"/>
      <c r="I14" s="301"/>
      <c r="J14" s="301"/>
      <c r="K14" s="301"/>
      <c r="L14" s="301"/>
      <c r="M14" s="301"/>
      <c r="N14" s="303"/>
      <c r="O14" s="303"/>
      <c r="P14" s="302"/>
      <c r="Q14" s="302"/>
      <c r="R14" s="301">
        <v>46405</v>
      </c>
      <c r="S14" s="302" t="s">
        <v>455</v>
      </c>
      <c r="T14" s="303" t="s">
        <v>426</v>
      </c>
      <c r="U14" s="302">
        <v>0.375</v>
      </c>
      <c r="V14" s="302">
        <v>0.5083333333333333</v>
      </c>
      <c r="W14" s="304">
        <v>46408</v>
      </c>
      <c r="X14" s="305" t="s">
        <v>456</v>
      </c>
      <c r="Y14" s="305" t="s">
        <v>428</v>
      </c>
      <c r="Z14" s="305">
        <v>0.44791666666666669</v>
      </c>
      <c r="AA14" s="305">
        <v>0.88194444444444442</v>
      </c>
      <c r="AB14" s="304"/>
      <c r="AC14" s="314"/>
      <c r="AD14" s="314"/>
      <c r="AE14" s="305"/>
      <c r="AF14" s="305"/>
      <c r="AG14" s="305"/>
      <c r="AH14" s="305"/>
      <c r="AI14" s="305"/>
      <c r="AJ14" s="305"/>
      <c r="AK14" s="305"/>
      <c r="AL14" s="319" t="s">
        <v>457</v>
      </c>
      <c r="AM14" s="315"/>
      <c r="AN14" s="316"/>
      <c r="AO14" s="320">
        <f>5240*B14</f>
        <v>366800</v>
      </c>
      <c r="AP14" s="309">
        <f>839*B14</f>
        <v>58730</v>
      </c>
      <c r="AQ14" s="309">
        <f>SUM(1002+1002)*B14</f>
        <v>140280</v>
      </c>
      <c r="AR14" s="309">
        <f>AO14+AP14+AQ14</f>
        <v>565810</v>
      </c>
      <c r="AS14" s="309">
        <f>230*B14</f>
        <v>16100</v>
      </c>
      <c r="AT14" s="309">
        <f>AS14*16%</f>
        <v>2576</v>
      </c>
      <c r="AU14" s="311">
        <f>AR14+AS14+AT14</f>
        <v>584486</v>
      </c>
    </row>
    <row r="15" spans="1:52" s="281" customFormat="1" ht="12.75" customHeight="1">
      <c r="B15" s="292">
        <v>5</v>
      </c>
      <c r="C15" s="293"/>
      <c r="D15" s="294"/>
      <c r="E15" s="294"/>
      <c r="F15" s="312" t="s">
        <v>458</v>
      </c>
      <c r="G15" s="296"/>
      <c r="H15" s="301"/>
      <c r="I15" s="301"/>
      <c r="J15" s="301"/>
      <c r="K15" s="301"/>
      <c r="L15" s="301"/>
      <c r="M15" s="301"/>
      <c r="N15" s="303"/>
      <c r="O15" s="303"/>
      <c r="P15" s="302"/>
      <c r="Q15" s="302"/>
      <c r="R15" s="301">
        <v>46405</v>
      </c>
      <c r="S15" s="302" t="s">
        <v>459</v>
      </c>
      <c r="T15" s="303" t="s">
        <v>460</v>
      </c>
      <c r="U15" s="302">
        <v>0.25624999999999998</v>
      </c>
      <c r="V15" s="302">
        <v>0.47916666666666669</v>
      </c>
      <c r="W15" s="304">
        <v>46408</v>
      </c>
      <c r="X15" s="305" t="s">
        <v>461</v>
      </c>
      <c r="Y15" s="305" t="s">
        <v>462</v>
      </c>
      <c r="Z15" s="305">
        <v>0.51388888888888884</v>
      </c>
      <c r="AA15" s="305">
        <v>0.58750000000000002</v>
      </c>
      <c r="AB15" s="313"/>
      <c r="AC15" s="314"/>
      <c r="AD15" s="305"/>
      <c r="AE15" s="305"/>
      <c r="AF15" s="305"/>
      <c r="AG15" s="305"/>
      <c r="AH15" s="305"/>
      <c r="AI15" s="305"/>
      <c r="AJ15" s="305"/>
      <c r="AK15" s="305"/>
      <c r="AL15" s="309" t="s">
        <v>444</v>
      </c>
      <c r="AM15" s="315"/>
      <c r="AN15" s="316"/>
      <c r="AO15" s="309">
        <f>6199*B15</f>
        <v>30995</v>
      </c>
      <c r="AP15" s="309">
        <f>992*B15</f>
        <v>4960</v>
      </c>
      <c r="AQ15" s="309">
        <f>SUM(2515)*B15</f>
        <v>12575</v>
      </c>
      <c r="AR15" s="309">
        <f>AO15+AP15+AQ15</f>
        <v>48530</v>
      </c>
      <c r="AS15" s="309">
        <f>230*B15</f>
        <v>1150</v>
      </c>
      <c r="AT15" s="309">
        <f>AS15*16%</f>
        <v>184</v>
      </c>
      <c r="AU15" s="311">
        <f>AR15+AS15+AT15</f>
        <v>49864</v>
      </c>
    </row>
    <row r="16" spans="1:52" s="281" customFormat="1" ht="12.75" customHeight="1">
      <c r="B16" s="292">
        <v>2</v>
      </c>
      <c r="C16" s="293"/>
      <c r="D16" s="294"/>
      <c r="E16" s="294"/>
      <c r="F16" s="312" t="s">
        <v>463</v>
      </c>
      <c r="G16" s="296" t="s">
        <v>464</v>
      </c>
      <c r="H16" s="301"/>
      <c r="I16" s="303"/>
      <c r="J16" s="303"/>
      <c r="K16" s="302"/>
      <c r="L16" s="302"/>
      <c r="M16" s="301"/>
      <c r="N16" s="302"/>
      <c r="O16" s="303" t="s">
        <v>464</v>
      </c>
      <c r="P16" s="302"/>
      <c r="Q16" s="302"/>
      <c r="R16" s="303">
        <v>46405</v>
      </c>
      <c r="S16" s="302"/>
      <c r="T16" s="303" t="s">
        <v>464</v>
      </c>
      <c r="U16" s="302"/>
      <c r="V16" s="302"/>
      <c r="W16" s="304">
        <v>46408</v>
      </c>
      <c r="X16" s="314"/>
      <c r="Y16" s="305" t="s">
        <v>464</v>
      </c>
      <c r="Z16" s="305"/>
      <c r="AA16" s="305"/>
      <c r="AB16" s="305"/>
      <c r="AC16" s="305"/>
      <c r="AD16" s="305" t="s">
        <v>464</v>
      </c>
      <c r="AE16" s="305"/>
      <c r="AF16" s="305"/>
      <c r="AG16" s="320"/>
      <c r="AH16" s="315"/>
      <c r="AI16" s="321" t="s">
        <v>464</v>
      </c>
      <c r="AJ16" s="309"/>
      <c r="AK16" s="309"/>
      <c r="AL16" s="309" t="s">
        <v>464</v>
      </c>
      <c r="AM16" s="309"/>
      <c r="AN16" s="309"/>
      <c r="AO16" s="309">
        <v>0</v>
      </c>
      <c r="AP16" s="309">
        <v>0</v>
      </c>
      <c r="AQ16" s="309">
        <v>0</v>
      </c>
      <c r="AR16" s="309">
        <f>AO16+AP16+AQ16</f>
        <v>0</v>
      </c>
      <c r="AS16" s="309">
        <f>230*B16</f>
        <v>460</v>
      </c>
      <c r="AT16" s="309">
        <f>AS16*16%</f>
        <v>73.600000000000009</v>
      </c>
      <c r="AU16" s="311">
        <f>AR16+AS16+AT16</f>
        <v>533.6</v>
      </c>
    </row>
    <row r="17" spans="2:47" s="281" customFormat="1" ht="12.75" customHeight="1">
      <c r="B17" s="292">
        <v>1</v>
      </c>
      <c r="C17" s="293"/>
      <c r="D17" s="294"/>
      <c r="E17" s="294"/>
      <c r="F17" s="312" t="s">
        <v>465</v>
      </c>
      <c r="G17" s="296"/>
      <c r="H17" s="301"/>
      <c r="I17" s="301"/>
      <c r="J17" s="301"/>
      <c r="K17" s="301"/>
      <c r="L17" s="301"/>
      <c r="M17" s="298">
        <v>46404</v>
      </c>
      <c r="N17" s="303" t="s">
        <v>466</v>
      </c>
      <c r="O17" s="303" t="s">
        <v>467</v>
      </c>
      <c r="P17" s="302">
        <v>0.65486111111111112</v>
      </c>
      <c r="Q17" s="302">
        <v>0.76736111111111116</v>
      </c>
      <c r="R17" s="301">
        <v>46405</v>
      </c>
      <c r="S17" s="302" t="s">
        <v>425</v>
      </c>
      <c r="T17" s="303" t="s">
        <v>426</v>
      </c>
      <c r="U17" s="302">
        <v>0.375</v>
      </c>
      <c r="V17" s="302">
        <v>0.52916666666666667</v>
      </c>
      <c r="W17" s="304">
        <v>46408</v>
      </c>
      <c r="X17" s="305" t="s">
        <v>468</v>
      </c>
      <c r="Y17" s="305" t="s">
        <v>428</v>
      </c>
      <c r="Z17" s="305">
        <v>0.47222222222222221</v>
      </c>
      <c r="AA17" s="305">
        <v>0.53819444444444442</v>
      </c>
      <c r="AB17" s="304">
        <v>46408</v>
      </c>
      <c r="AC17" s="304" t="s">
        <v>469</v>
      </c>
      <c r="AD17" s="314" t="s">
        <v>470</v>
      </c>
      <c r="AE17" s="305">
        <v>0.58680555555555558</v>
      </c>
      <c r="AF17" s="305">
        <v>0.61041666666666672</v>
      </c>
      <c r="AG17" s="304"/>
      <c r="AH17" s="305"/>
      <c r="AI17" s="305"/>
      <c r="AJ17" s="305"/>
      <c r="AK17" s="305"/>
      <c r="AL17" s="309" t="s">
        <v>431</v>
      </c>
      <c r="AM17" s="315"/>
      <c r="AN17" s="316"/>
      <c r="AO17" s="309">
        <f>SUM(4950)*B17</f>
        <v>4950</v>
      </c>
      <c r="AP17" s="309">
        <f>792*B17</f>
        <v>792</v>
      </c>
      <c r="AQ17" s="309">
        <f>SUM(1797+1600)*B17</f>
        <v>3397</v>
      </c>
      <c r="AR17" s="309">
        <f>AO17+AP17+AQ17</f>
        <v>9139</v>
      </c>
      <c r="AS17" s="309">
        <f>230*B17</f>
        <v>230</v>
      </c>
      <c r="AT17" s="309">
        <f>AS17*16%</f>
        <v>36.800000000000004</v>
      </c>
      <c r="AU17" s="311">
        <f>AR17+AS17+AT17</f>
        <v>9405.7999999999993</v>
      </c>
    </row>
    <row r="18" spans="2:47" s="281" customFormat="1" ht="12.75" customHeight="1">
      <c r="B18" s="292">
        <v>3</v>
      </c>
      <c r="C18" s="293"/>
      <c r="D18" s="294"/>
      <c r="E18" s="294"/>
      <c r="F18" s="312" t="s">
        <v>471</v>
      </c>
      <c r="G18" s="296"/>
      <c r="H18" s="301"/>
      <c r="I18" s="301"/>
      <c r="J18" s="301"/>
      <c r="K18" s="301"/>
      <c r="L18" s="301"/>
      <c r="M18" s="301">
        <v>46405</v>
      </c>
      <c r="N18" s="303" t="s">
        <v>472</v>
      </c>
      <c r="O18" s="303" t="s">
        <v>473</v>
      </c>
      <c r="P18" s="302">
        <v>0.2298611111111111</v>
      </c>
      <c r="Q18" s="302">
        <v>0.31319444444444444</v>
      </c>
      <c r="R18" s="301">
        <v>46405</v>
      </c>
      <c r="S18" s="302" t="s">
        <v>453</v>
      </c>
      <c r="T18" s="303" t="s">
        <v>426</v>
      </c>
      <c r="U18" s="302">
        <v>0.4375</v>
      </c>
      <c r="V18" s="302">
        <v>0.56597222222222221</v>
      </c>
      <c r="W18" s="304">
        <v>46408</v>
      </c>
      <c r="X18" s="305" t="s">
        <v>634</v>
      </c>
      <c r="Y18" s="305" t="s">
        <v>428</v>
      </c>
      <c r="Z18" s="305">
        <v>0.43055555555555558</v>
      </c>
      <c r="AA18" s="305">
        <v>0.48958333333333331</v>
      </c>
      <c r="AB18" s="304">
        <v>46408</v>
      </c>
      <c r="AC18" s="314" t="s">
        <v>472</v>
      </c>
      <c r="AD18" s="314" t="s">
        <v>474</v>
      </c>
      <c r="AE18" s="305">
        <v>0.625</v>
      </c>
      <c r="AF18" s="305">
        <v>0.70833333333333337</v>
      </c>
      <c r="AG18" s="305"/>
      <c r="AH18" s="305"/>
      <c r="AI18" s="305"/>
      <c r="AJ18" s="305"/>
      <c r="AK18" s="305"/>
      <c r="AL18" s="319" t="s">
        <v>475</v>
      </c>
      <c r="AM18" s="315"/>
      <c r="AN18" s="316"/>
      <c r="AO18" s="309">
        <f>3940*B18</f>
        <v>11820</v>
      </c>
      <c r="AP18" s="309">
        <f>631*B18</f>
        <v>1893</v>
      </c>
      <c r="AQ18" s="309">
        <f>SUM(2176+999.7)*B18</f>
        <v>9527.0999999999985</v>
      </c>
      <c r="AR18" s="309">
        <f>AO18+AP18+AQ18</f>
        <v>23240.1</v>
      </c>
      <c r="AS18" s="309">
        <f>230*B18</f>
        <v>690</v>
      </c>
      <c r="AT18" s="309">
        <f>AS18*16%</f>
        <v>110.4</v>
      </c>
      <c r="AU18" s="311">
        <f>AR18+AS18+AT18</f>
        <v>24040.5</v>
      </c>
    </row>
    <row r="19" spans="2:47" s="281" customFormat="1" ht="12.75" customHeight="1">
      <c r="B19" s="292">
        <v>7</v>
      </c>
      <c r="C19" s="293"/>
      <c r="D19" s="294"/>
      <c r="E19" s="294"/>
      <c r="F19" s="312" t="s">
        <v>476</v>
      </c>
      <c r="G19" s="296"/>
      <c r="H19" s="301"/>
      <c r="I19" s="301"/>
      <c r="J19" s="301"/>
      <c r="K19" s="301"/>
      <c r="L19" s="301"/>
      <c r="M19" s="301">
        <v>46405</v>
      </c>
      <c r="N19" s="303" t="s">
        <v>433</v>
      </c>
      <c r="O19" s="303" t="s">
        <v>477</v>
      </c>
      <c r="P19" s="302">
        <v>0.33124999999999999</v>
      </c>
      <c r="Q19" s="302">
        <v>0.4548611111111111</v>
      </c>
      <c r="R19" s="301">
        <v>46405</v>
      </c>
      <c r="S19" s="302" t="s">
        <v>478</v>
      </c>
      <c r="T19" s="303" t="s">
        <v>426</v>
      </c>
      <c r="U19" s="302">
        <v>0.50694444444444442</v>
      </c>
      <c r="V19" s="302">
        <v>0.65277777777777779</v>
      </c>
      <c r="W19" s="304">
        <v>46408</v>
      </c>
      <c r="X19" s="305" t="s">
        <v>479</v>
      </c>
      <c r="Y19" s="304" t="s">
        <v>428</v>
      </c>
      <c r="Z19" s="305">
        <v>0.35972222222222222</v>
      </c>
      <c r="AA19" s="305">
        <v>0.4236111111111111</v>
      </c>
      <c r="AB19" s="304">
        <v>46408</v>
      </c>
      <c r="AC19" s="314" t="s">
        <v>480</v>
      </c>
      <c r="AD19" s="314" t="s">
        <v>481</v>
      </c>
      <c r="AE19" s="305">
        <v>0.5</v>
      </c>
      <c r="AF19" s="305">
        <v>0.55000000000000004</v>
      </c>
      <c r="AG19" s="305"/>
      <c r="AH19" s="305"/>
      <c r="AI19" s="305"/>
      <c r="AJ19" s="305"/>
      <c r="AK19" s="305"/>
      <c r="AL19" s="309" t="s">
        <v>482</v>
      </c>
      <c r="AM19" s="315"/>
      <c r="AN19" s="316"/>
      <c r="AO19" s="320">
        <f>SUM(8076)*B19</f>
        <v>56532</v>
      </c>
      <c r="AP19" s="309">
        <f>1453*B19</f>
        <v>10171</v>
      </c>
      <c r="AQ19" s="309">
        <f>SUM(2738+1600)*B19</f>
        <v>30366</v>
      </c>
      <c r="AR19" s="309">
        <f>AO19+AP19+AQ19</f>
        <v>97069</v>
      </c>
      <c r="AS19" s="309">
        <f>230*B19</f>
        <v>1610</v>
      </c>
      <c r="AT19" s="309">
        <f>AS19*16%</f>
        <v>257.60000000000002</v>
      </c>
      <c r="AU19" s="311">
        <f>AR19+AS19+AT19</f>
        <v>98936.6</v>
      </c>
    </row>
    <row r="20" spans="2:47" s="281" customFormat="1" ht="12.75" customHeight="1">
      <c r="B20" s="292">
        <v>1</v>
      </c>
      <c r="C20" s="293"/>
      <c r="D20" s="294"/>
      <c r="E20" s="294"/>
      <c r="F20" s="312" t="s">
        <v>483</v>
      </c>
      <c r="G20" s="296" t="s">
        <v>484</v>
      </c>
      <c r="H20" s="301"/>
      <c r="I20" s="301"/>
      <c r="J20" s="301"/>
      <c r="K20" s="301"/>
      <c r="L20" s="301"/>
      <c r="M20" s="298">
        <v>46404</v>
      </c>
      <c r="N20" s="303" t="s">
        <v>485</v>
      </c>
      <c r="O20" s="303" t="s">
        <v>486</v>
      </c>
      <c r="P20" s="302">
        <v>0.81805555555555554</v>
      </c>
      <c r="Q20" s="302">
        <v>0.95486111111111116</v>
      </c>
      <c r="R20" s="301">
        <v>46405</v>
      </c>
      <c r="S20" s="302" t="s">
        <v>425</v>
      </c>
      <c r="T20" s="303" t="s">
        <v>426</v>
      </c>
      <c r="U20" s="302">
        <v>0.375</v>
      </c>
      <c r="V20" s="302">
        <v>0.52916666666666667</v>
      </c>
      <c r="W20" s="304">
        <v>46408</v>
      </c>
      <c r="X20" s="304" t="s">
        <v>427</v>
      </c>
      <c r="Y20" s="305" t="s">
        <v>428</v>
      </c>
      <c r="Z20" s="305">
        <v>0.59166666666666667</v>
      </c>
      <c r="AA20" s="305">
        <v>0.65972222222222221</v>
      </c>
      <c r="AB20" s="304">
        <v>46408</v>
      </c>
      <c r="AC20" s="314" t="s">
        <v>487</v>
      </c>
      <c r="AD20" s="314" t="s">
        <v>488</v>
      </c>
      <c r="AE20" s="305">
        <v>0.72916666666666663</v>
      </c>
      <c r="AF20" s="305">
        <v>0.79027777777777775</v>
      </c>
      <c r="AG20" s="305"/>
      <c r="AH20" s="305"/>
      <c r="AI20" s="305"/>
      <c r="AJ20" s="305"/>
      <c r="AK20" s="305"/>
      <c r="AL20" s="309" t="s">
        <v>482</v>
      </c>
      <c r="AM20" s="315"/>
      <c r="AN20" s="316"/>
      <c r="AO20" s="309">
        <f>5860*B20</f>
        <v>5860</v>
      </c>
      <c r="AP20" s="309">
        <f>938*B20</f>
        <v>938</v>
      </c>
      <c r="AQ20" s="309">
        <f>SUM(2084+1600)*B20</f>
        <v>3684</v>
      </c>
      <c r="AR20" s="309">
        <f>AO20+AP20+AQ20</f>
        <v>10482</v>
      </c>
      <c r="AS20" s="309">
        <f>230*B20</f>
        <v>230</v>
      </c>
      <c r="AT20" s="309">
        <f>AS20*16%</f>
        <v>36.800000000000004</v>
      </c>
      <c r="AU20" s="311">
        <f>AR20+AS20+AT20</f>
        <v>10748.8</v>
      </c>
    </row>
    <row r="21" spans="2:47" s="281" customFormat="1" ht="12.75" customHeight="1">
      <c r="B21" s="292">
        <v>1</v>
      </c>
      <c r="C21" s="293"/>
      <c r="D21" s="294"/>
      <c r="E21" s="294"/>
      <c r="F21" s="312" t="s">
        <v>489</v>
      </c>
      <c r="G21" s="296" t="s">
        <v>490</v>
      </c>
      <c r="H21" s="301"/>
      <c r="I21" s="301"/>
      <c r="J21" s="301"/>
      <c r="K21" s="301"/>
      <c r="L21" s="301"/>
      <c r="M21" s="298">
        <v>46404</v>
      </c>
      <c r="N21" s="303" t="s">
        <v>491</v>
      </c>
      <c r="O21" s="303" t="s">
        <v>492</v>
      </c>
      <c r="P21" s="302">
        <v>0.7319444444444444</v>
      </c>
      <c r="Q21" s="302">
        <v>0.84375</v>
      </c>
      <c r="R21" s="301">
        <v>46405</v>
      </c>
      <c r="S21" s="302" t="s">
        <v>425</v>
      </c>
      <c r="T21" s="303" t="s">
        <v>426</v>
      </c>
      <c r="U21" s="302">
        <v>0.375</v>
      </c>
      <c r="V21" s="302">
        <v>0.52916666666666667</v>
      </c>
      <c r="W21" s="304">
        <v>46408</v>
      </c>
      <c r="X21" s="304" t="s">
        <v>493</v>
      </c>
      <c r="Y21" s="305" t="s">
        <v>428</v>
      </c>
      <c r="Z21" s="305">
        <v>0.51875000000000004</v>
      </c>
      <c r="AA21" s="305">
        <v>0.58680555555555558</v>
      </c>
      <c r="AB21" s="304">
        <v>46408</v>
      </c>
      <c r="AC21" s="314" t="s">
        <v>494</v>
      </c>
      <c r="AD21" s="314" t="s">
        <v>495</v>
      </c>
      <c r="AE21" s="305">
        <v>0.66666666666666663</v>
      </c>
      <c r="AF21" s="305">
        <v>0.70902777777777781</v>
      </c>
      <c r="AG21" s="305"/>
      <c r="AH21" s="305"/>
      <c r="AI21" s="305"/>
      <c r="AJ21" s="305"/>
      <c r="AK21" s="305"/>
      <c r="AL21" s="309" t="s">
        <v>482</v>
      </c>
      <c r="AM21" s="315"/>
      <c r="AN21" s="316"/>
      <c r="AO21" s="309">
        <f>5950*B21</f>
        <v>5950</v>
      </c>
      <c r="AP21" s="309">
        <f>952*B21</f>
        <v>952</v>
      </c>
      <c r="AQ21" s="309">
        <f>SUM(2298+1800)*B21</f>
        <v>4098</v>
      </c>
      <c r="AR21" s="309">
        <f>AO21+AP21+AQ21</f>
        <v>11000</v>
      </c>
      <c r="AS21" s="309">
        <f>230*B21</f>
        <v>230</v>
      </c>
      <c r="AT21" s="309">
        <f>AS21*16%</f>
        <v>36.800000000000004</v>
      </c>
      <c r="AU21" s="311">
        <f>AR21+AS21+AT21</f>
        <v>11266.8</v>
      </c>
    </row>
    <row r="22" spans="2:47" s="281" customFormat="1" ht="12.75" customHeight="1">
      <c r="B22" s="292">
        <v>1</v>
      </c>
      <c r="C22" s="293"/>
      <c r="D22" s="294"/>
      <c r="E22" s="294"/>
      <c r="F22" s="312" t="s">
        <v>496</v>
      </c>
      <c r="G22" s="296"/>
      <c r="H22" s="298">
        <v>46404</v>
      </c>
      <c r="I22" s="303" t="s">
        <v>497</v>
      </c>
      <c r="J22" s="303" t="s">
        <v>498</v>
      </c>
      <c r="K22" s="300">
        <v>0.625</v>
      </c>
      <c r="L22" s="300">
        <v>0.79166666666666663</v>
      </c>
      <c r="M22" s="301">
        <v>46405</v>
      </c>
      <c r="N22" s="303" t="s">
        <v>499</v>
      </c>
      <c r="O22" s="303" t="s">
        <v>500</v>
      </c>
      <c r="P22" s="302">
        <v>0.25</v>
      </c>
      <c r="Q22" s="302">
        <v>0.3263888888888889</v>
      </c>
      <c r="R22" s="301">
        <v>46405</v>
      </c>
      <c r="S22" s="302" t="s">
        <v>425</v>
      </c>
      <c r="T22" s="303" t="s">
        <v>426</v>
      </c>
      <c r="U22" s="302">
        <v>0.375</v>
      </c>
      <c r="V22" s="302">
        <v>0.52916666666666667</v>
      </c>
      <c r="W22" s="304">
        <v>46408</v>
      </c>
      <c r="X22" s="305" t="s">
        <v>493</v>
      </c>
      <c r="Y22" s="305" t="s">
        <v>428</v>
      </c>
      <c r="Z22" s="305">
        <v>0.51875000000000004</v>
      </c>
      <c r="AA22" s="305">
        <v>0.58680555555555558</v>
      </c>
      <c r="AB22" s="304">
        <v>46408</v>
      </c>
      <c r="AC22" s="314" t="s">
        <v>501</v>
      </c>
      <c r="AD22" s="314" t="s">
        <v>502</v>
      </c>
      <c r="AE22" s="305">
        <v>0.62847222222222221</v>
      </c>
      <c r="AF22" s="305">
        <v>0.70625000000000004</v>
      </c>
      <c r="AG22" s="322">
        <v>46409</v>
      </c>
      <c r="AH22" s="305" t="s">
        <v>497</v>
      </c>
      <c r="AI22" s="305" t="s">
        <v>503</v>
      </c>
      <c r="AJ22" s="305">
        <v>0.375</v>
      </c>
      <c r="AK22" s="305">
        <v>0.57777777777777772</v>
      </c>
      <c r="AL22" s="319" t="s">
        <v>504</v>
      </c>
      <c r="AM22" s="315"/>
      <c r="AN22" s="316"/>
      <c r="AO22" s="320">
        <f>SUM(4998)*B22</f>
        <v>4998</v>
      </c>
      <c r="AP22" s="309">
        <f>800*B22</f>
        <v>800</v>
      </c>
      <c r="AQ22" s="309">
        <f>SUM(2250+1378+878)*B22</f>
        <v>4506</v>
      </c>
      <c r="AR22" s="309">
        <f>AO22+AP22+AQ22</f>
        <v>10304</v>
      </c>
      <c r="AS22" s="309">
        <f>230*B22</f>
        <v>230</v>
      </c>
      <c r="AT22" s="309">
        <f>AS22*16%</f>
        <v>36.800000000000004</v>
      </c>
      <c r="AU22" s="311">
        <f>AR22+AS22+AT22</f>
        <v>10570.8</v>
      </c>
    </row>
    <row r="23" spans="2:47" s="281" customFormat="1" ht="12.75" customHeight="1">
      <c r="B23" s="292">
        <f>35+6</f>
        <v>41</v>
      </c>
      <c r="C23" s="293"/>
      <c r="D23" s="294"/>
      <c r="E23" s="294"/>
      <c r="F23" s="312" t="s">
        <v>505</v>
      </c>
      <c r="G23" s="296"/>
      <c r="H23" s="301"/>
      <c r="I23" s="301"/>
      <c r="J23" s="301"/>
      <c r="K23" s="301"/>
      <c r="L23" s="301"/>
      <c r="M23" s="301"/>
      <c r="N23" s="303"/>
      <c r="O23" s="303"/>
      <c r="P23" s="302"/>
      <c r="Q23" s="302"/>
      <c r="R23" s="301">
        <v>46405</v>
      </c>
      <c r="S23" s="302" t="s">
        <v>506</v>
      </c>
      <c r="T23" s="303" t="s">
        <v>507</v>
      </c>
      <c r="U23" s="302">
        <v>0.39930555555555558</v>
      </c>
      <c r="V23" s="302">
        <v>0.53125</v>
      </c>
      <c r="W23" s="304">
        <v>46408</v>
      </c>
      <c r="X23" s="305" t="s">
        <v>511</v>
      </c>
      <c r="Y23" s="305" t="s">
        <v>509</v>
      </c>
      <c r="Z23" s="305">
        <v>0.44097222222222221</v>
      </c>
      <c r="AA23" s="305">
        <v>0.49722222222222223</v>
      </c>
      <c r="AB23" s="304"/>
      <c r="AC23" s="314"/>
      <c r="AD23" s="314"/>
      <c r="AE23" s="305"/>
      <c r="AF23" s="305"/>
      <c r="AG23" s="305"/>
      <c r="AH23" s="305"/>
      <c r="AI23" s="305"/>
      <c r="AJ23" s="305"/>
      <c r="AK23" s="305"/>
      <c r="AL23" s="319" t="s">
        <v>444</v>
      </c>
      <c r="AM23" s="315"/>
      <c r="AN23" s="316"/>
      <c r="AO23" s="320">
        <f>3800*B23</f>
        <v>155800</v>
      </c>
      <c r="AP23" s="309">
        <f>608*B23</f>
        <v>24928</v>
      </c>
      <c r="AQ23" s="309">
        <f>1233*B23</f>
        <v>50553</v>
      </c>
      <c r="AR23" s="309">
        <f>AO23+AP23+AQ23</f>
        <v>231281</v>
      </c>
      <c r="AS23" s="309">
        <f>230*B23</f>
        <v>9430</v>
      </c>
      <c r="AT23" s="309">
        <f>AS23*16%</f>
        <v>1508.8</v>
      </c>
      <c r="AU23" s="311">
        <f>AR23+AS23+AT23</f>
        <v>242219.8</v>
      </c>
    </row>
    <row r="24" spans="2:47" s="281" customFormat="1" ht="12.75" customHeight="1">
      <c r="B24" s="292">
        <v>4</v>
      </c>
      <c r="C24" s="293"/>
      <c r="D24" s="294"/>
      <c r="E24" s="294"/>
      <c r="F24" s="312" t="s">
        <v>510</v>
      </c>
      <c r="G24" s="296"/>
      <c r="H24" s="301"/>
      <c r="I24" s="301"/>
      <c r="J24" s="301"/>
      <c r="K24" s="301"/>
      <c r="L24" s="301"/>
      <c r="M24" s="301"/>
      <c r="N24" s="303"/>
      <c r="O24" s="303"/>
      <c r="P24" s="302"/>
      <c r="Q24" s="302"/>
      <c r="R24" s="301">
        <v>46405</v>
      </c>
      <c r="S24" s="302" t="s">
        <v>506</v>
      </c>
      <c r="T24" s="303" t="s">
        <v>507</v>
      </c>
      <c r="U24" s="302">
        <v>0.39930555555555558</v>
      </c>
      <c r="V24" s="302">
        <v>0.53125</v>
      </c>
      <c r="W24" s="304">
        <v>46408</v>
      </c>
      <c r="X24" s="305" t="s">
        <v>511</v>
      </c>
      <c r="Y24" s="305" t="s">
        <v>509</v>
      </c>
      <c r="Z24" s="305">
        <v>0.44097222222222221</v>
      </c>
      <c r="AA24" s="305">
        <v>0.49722222222222223</v>
      </c>
      <c r="AB24" s="304"/>
      <c r="AC24" s="314"/>
      <c r="AD24" s="314"/>
      <c r="AE24" s="305"/>
      <c r="AF24" s="305"/>
      <c r="AG24" s="305"/>
      <c r="AH24" s="305"/>
      <c r="AI24" s="305"/>
      <c r="AJ24" s="305"/>
      <c r="AK24" s="305"/>
      <c r="AL24" s="319" t="s">
        <v>444</v>
      </c>
      <c r="AM24" s="315"/>
      <c r="AN24" s="316"/>
      <c r="AO24" s="320">
        <f>3800*B24</f>
        <v>15200</v>
      </c>
      <c r="AP24" s="309">
        <f>608*B24</f>
        <v>2432</v>
      </c>
      <c r="AQ24" s="309">
        <f>1233*B24</f>
        <v>4932</v>
      </c>
      <c r="AR24" s="309">
        <f>AO24+AP24+AQ24</f>
        <v>22564</v>
      </c>
      <c r="AS24" s="309">
        <f>230*B24</f>
        <v>920</v>
      </c>
      <c r="AT24" s="309">
        <f>AS24*16%</f>
        <v>147.20000000000002</v>
      </c>
      <c r="AU24" s="311">
        <f>AR24+AS24+AT24</f>
        <v>23631.200000000001</v>
      </c>
    </row>
    <row r="25" spans="2:47" s="281" customFormat="1" ht="12.75" customHeight="1">
      <c r="B25" s="292">
        <v>10</v>
      </c>
      <c r="C25" s="293"/>
      <c r="D25" s="294"/>
      <c r="E25" s="294"/>
      <c r="F25" s="312" t="s">
        <v>512</v>
      </c>
      <c r="G25" s="296" t="s">
        <v>513</v>
      </c>
      <c r="H25" s="301"/>
      <c r="I25" s="301"/>
      <c r="J25" s="301"/>
      <c r="K25" s="301"/>
      <c r="L25" s="301"/>
      <c r="M25" s="301"/>
      <c r="N25" s="303"/>
      <c r="O25" s="303"/>
      <c r="P25" s="302"/>
      <c r="Q25" s="302"/>
      <c r="R25" s="301">
        <v>46405</v>
      </c>
      <c r="S25" s="302" t="s">
        <v>514</v>
      </c>
      <c r="T25" s="303" t="s">
        <v>515</v>
      </c>
      <c r="U25" s="302">
        <v>0.28125</v>
      </c>
      <c r="V25" s="302">
        <v>0.47222222222222221</v>
      </c>
      <c r="W25" s="304">
        <v>46408</v>
      </c>
      <c r="X25" s="305" t="s">
        <v>514</v>
      </c>
      <c r="Y25" s="305" t="s">
        <v>516</v>
      </c>
      <c r="Z25" s="305">
        <v>0.57708333333333328</v>
      </c>
      <c r="AA25" s="305">
        <v>0.71597222222222223</v>
      </c>
      <c r="AB25" s="304"/>
      <c r="AC25" s="314"/>
      <c r="AD25" s="314"/>
      <c r="AE25" s="305"/>
      <c r="AF25" s="305"/>
      <c r="AG25" s="305"/>
      <c r="AH25" s="305"/>
      <c r="AI25" s="305"/>
      <c r="AJ25" s="305"/>
      <c r="AK25" s="305"/>
      <c r="AL25" s="319" t="s">
        <v>517</v>
      </c>
      <c r="AM25" s="315"/>
      <c r="AN25" s="316"/>
      <c r="AO25" s="320">
        <f>1300*B25</f>
        <v>13000</v>
      </c>
      <c r="AP25" s="309">
        <f>SUM(208)*B25</f>
        <v>2080</v>
      </c>
      <c r="AQ25" s="309">
        <f>SUM(0)*B25</f>
        <v>0</v>
      </c>
      <c r="AR25" s="309">
        <f>AO25+AP25+AQ25</f>
        <v>15080</v>
      </c>
      <c r="AS25" s="309">
        <f>230*B25</f>
        <v>2300</v>
      </c>
      <c r="AT25" s="309">
        <f>AS25*16%</f>
        <v>368</v>
      </c>
      <c r="AU25" s="311">
        <f>AR25+AS25+AT25</f>
        <v>17748</v>
      </c>
    </row>
    <row r="26" spans="2:47" s="281" customFormat="1" ht="12.75" customHeight="1">
      <c r="B26" s="292">
        <v>1</v>
      </c>
      <c r="C26" s="293"/>
      <c r="D26" s="294"/>
      <c r="E26" s="294"/>
      <c r="F26" s="312" t="s">
        <v>518</v>
      </c>
      <c r="G26" s="296"/>
      <c r="H26" s="298">
        <v>46404</v>
      </c>
      <c r="I26" s="303" t="s">
        <v>497</v>
      </c>
      <c r="J26" s="303" t="s">
        <v>519</v>
      </c>
      <c r="K26" s="302">
        <v>0.70833333333333337</v>
      </c>
      <c r="L26" s="300">
        <v>0.83333333333333337</v>
      </c>
      <c r="M26" s="301">
        <v>46405</v>
      </c>
      <c r="N26" s="303" t="s">
        <v>499</v>
      </c>
      <c r="O26" s="303" t="s">
        <v>500</v>
      </c>
      <c r="P26" s="302">
        <v>0.25</v>
      </c>
      <c r="Q26" s="302">
        <v>0.3263888888888889</v>
      </c>
      <c r="R26" s="301">
        <v>46405</v>
      </c>
      <c r="S26" s="302" t="s">
        <v>425</v>
      </c>
      <c r="T26" s="303" t="s">
        <v>426</v>
      </c>
      <c r="U26" s="302">
        <v>0.375</v>
      </c>
      <c r="V26" s="302">
        <v>0.52916666666666667</v>
      </c>
      <c r="W26" s="304">
        <v>46408</v>
      </c>
      <c r="X26" s="305" t="s">
        <v>493</v>
      </c>
      <c r="Y26" s="305" t="s">
        <v>428</v>
      </c>
      <c r="Z26" s="305">
        <v>0.51875000000000004</v>
      </c>
      <c r="AA26" s="305">
        <v>0.58680555555555558</v>
      </c>
      <c r="AB26" s="304">
        <v>46408</v>
      </c>
      <c r="AC26" s="314" t="s">
        <v>501</v>
      </c>
      <c r="AD26" s="314" t="s">
        <v>502</v>
      </c>
      <c r="AE26" s="305">
        <v>0.62847222222222221</v>
      </c>
      <c r="AF26" s="305">
        <v>0.70625000000000004</v>
      </c>
      <c r="AG26" s="322">
        <v>46409</v>
      </c>
      <c r="AH26" s="305" t="s">
        <v>497</v>
      </c>
      <c r="AI26" s="305" t="s">
        <v>520</v>
      </c>
      <c r="AJ26" s="305">
        <v>0.375</v>
      </c>
      <c r="AK26" s="305">
        <v>0.59861111111111109</v>
      </c>
      <c r="AL26" s="319" t="s">
        <v>504</v>
      </c>
      <c r="AM26" s="315"/>
      <c r="AN26" s="316"/>
      <c r="AO26" s="320">
        <f>SUM(4998)*B26</f>
        <v>4998</v>
      </c>
      <c r="AP26" s="309">
        <f>800*B26</f>
        <v>800</v>
      </c>
      <c r="AQ26" s="309">
        <f>SUM(2250+1378+993.5)*B26</f>
        <v>4621.5</v>
      </c>
      <c r="AR26" s="309">
        <f>AO26+AP26+AQ26</f>
        <v>10419.5</v>
      </c>
      <c r="AS26" s="309">
        <f>230*B26</f>
        <v>230</v>
      </c>
      <c r="AT26" s="309">
        <f>AS26*16%</f>
        <v>36.800000000000004</v>
      </c>
      <c r="AU26" s="311">
        <f>AR26+AS26+AT26</f>
        <v>10686.3</v>
      </c>
    </row>
    <row r="27" spans="2:47" s="281" customFormat="1" ht="12.75" customHeight="1">
      <c r="B27" s="292">
        <v>29</v>
      </c>
      <c r="C27" s="293"/>
      <c r="D27" s="294"/>
      <c r="E27" s="294"/>
      <c r="F27" s="312" t="s">
        <v>521</v>
      </c>
      <c r="G27" s="296"/>
      <c r="H27" s="301"/>
      <c r="I27" s="301"/>
      <c r="J27" s="301"/>
      <c r="K27" s="301"/>
      <c r="L27" s="301"/>
      <c r="M27" s="301"/>
      <c r="N27" s="303"/>
      <c r="O27" s="303"/>
      <c r="P27" s="302"/>
      <c r="Q27" s="302"/>
      <c r="R27" s="301">
        <v>46405</v>
      </c>
      <c r="S27" s="303" t="s">
        <v>522</v>
      </c>
      <c r="T27" s="303" t="s">
        <v>523</v>
      </c>
      <c r="U27" s="302">
        <v>0.34930555555555554</v>
      </c>
      <c r="V27" s="302">
        <v>0.50277777777777777</v>
      </c>
      <c r="W27" s="304">
        <v>46408</v>
      </c>
      <c r="X27" s="305" t="s">
        <v>524</v>
      </c>
      <c r="Y27" s="305" t="s">
        <v>525</v>
      </c>
      <c r="Z27" s="305">
        <v>0.54166666666666663</v>
      </c>
      <c r="AA27" s="305">
        <v>0.62013888888888891</v>
      </c>
      <c r="AB27" s="313"/>
      <c r="AC27" s="314"/>
      <c r="AD27" s="314"/>
      <c r="AE27" s="305"/>
      <c r="AF27" s="305"/>
      <c r="AG27" s="305"/>
      <c r="AH27" s="305"/>
      <c r="AI27" s="305"/>
      <c r="AJ27" s="305"/>
      <c r="AK27" s="305"/>
      <c r="AL27" s="319" t="s">
        <v>457</v>
      </c>
      <c r="AM27" s="315"/>
      <c r="AN27" s="316"/>
      <c r="AO27" s="320">
        <f>5124*B27</f>
        <v>148596</v>
      </c>
      <c r="AP27" s="309">
        <f>820*B27</f>
        <v>23780</v>
      </c>
      <c r="AQ27" s="309">
        <f>SUM(1046+1403)*B27</f>
        <v>71021</v>
      </c>
      <c r="AR27" s="309">
        <f>AO27+AP27+AQ27</f>
        <v>243397</v>
      </c>
      <c r="AS27" s="309">
        <f>230*B27</f>
        <v>6670</v>
      </c>
      <c r="AT27" s="309">
        <f>AS27*16%</f>
        <v>1067.2</v>
      </c>
      <c r="AU27" s="311">
        <f>AR27+AS27+AT27</f>
        <v>251134.2</v>
      </c>
    </row>
    <row r="28" spans="2:47" s="281" customFormat="1" ht="12.75" customHeight="1">
      <c r="B28" s="292">
        <v>6</v>
      </c>
      <c r="C28" s="293"/>
      <c r="D28" s="294"/>
      <c r="E28" s="294"/>
      <c r="F28" s="312" t="s">
        <v>526</v>
      </c>
      <c r="G28" s="296"/>
      <c r="H28" s="301"/>
      <c r="I28" s="301"/>
      <c r="J28" s="301"/>
      <c r="K28" s="300"/>
      <c r="L28" s="300"/>
      <c r="M28" s="301">
        <v>46405</v>
      </c>
      <c r="N28" s="301" t="s">
        <v>527</v>
      </c>
      <c r="O28" s="301" t="s">
        <v>528</v>
      </c>
      <c r="P28" s="300">
        <v>0.25347222222222221</v>
      </c>
      <c r="Q28" s="300">
        <v>0.40625</v>
      </c>
      <c r="R28" s="301">
        <v>46405</v>
      </c>
      <c r="S28" s="302" t="s">
        <v>529</v>
      </c>
      <c r="T28" s="303" t="s">
        <v>426</v>
      </c>
      <c r="U28" s="302">
        <v>0.46875</v>
      </c>
      <c r="V28" s="302">
        <v>0.61597222222222225</v>
      </c>
      <c r="W28" s="304">
        <v>46408</v>
      </c>
      <c r="X28" s="305" t="s">
        <v>427</v>
      </c>
      <c r="Y28" s="305" t="s">
        <v>428</v>
      </c>
      <c r="Z28" s="305">
        <v>0.59166666666666667</v>
      </c>
      <c r="AA28" s="305">
        <v>0.65972222222222221</v>
      </c>
      <c r="AB28" s="304">
        <v>46408</v>
      </c>
      <c r="AC28" s="314" t="s">
        <v>530</v>
      </c>
      <c r="AD28" s="314" t="s">
        <v>531</v>
      </c>
      <c r="AE28" s="305">
        <v>0.70833333333333337</v>
      </c>
      <c r="AF28" s="305">
        <v>0.79513888888888884</v>
      </c>
      <c r="AG28" s="305"/>
      <c r="AH28" s="305"/>
      <c r="AI28" s="305"/>
      <c r="AJ28" s="305"/>
      <c r="AK28" s="305"/>
      <c r="AL28" s="309" t="s">
        <v>482</v>
      </c>
      <c r="AM28" s="315"/>
      <c r="AN28" s="316"/>
      <c r="AO28" s="309">
        <f>6858*B28</f>
        <v>41148</v>
      </c>
      <c r="AP28" s="309">
        <f>1098*B28</f>
        <v>6588</v>
      </c>
      <c r="AQ28" s="309">
        <f>SUM(2246+1600)*B28</f>
        <v>23076</v>
      </c>
      <c r="AR28" s="309">
        <f>AO28+AP28+AQ28</f>
        <v>70812</v>
      </c>
      <c r="AS28" s="309">
        <f>230*B28</f>
        <v>1380</v>
      </c>
      <c r="AT28" s="309">
        <f>AS28*16%</f>
        <v>220.8</v>
      </c>
      <c r="AU28" s="311">
        <f>AR28+AS28+AT28</f>
        <v>72412.800000000003</v>
      </c>
    </row>
    <row r="29" spans="2:47" s="281" customFormat="1" ht="12.75" customHeight="1">
      <c r="B29" s="292">
        <v>2</v>
      </c>
      <c r="C29" s="293"/>
      <c r="D29" s="294"/>
      <c r="E29" s="294"/>
      <c r="F29" s="312" t="s">
        <v>532</v>
      </c>
      <c r="G29" s="317" t="s">
        <v>439</v>
      </c>
      <c r="H29" s="301"/>
      <c r="I29" s="301"/>
      <c r="J29" s="301"/>
      <c r="K29" s="301"/>
      <c r="L29" s="301"/>
      <c r="M29" s="301"/>
      <c r="N29" s="303"/>
      <c r="O29" s="303"/>
      <c r="P29" s="302"/>
      <c r="Q29" s="302"/>
      <c r="R29" s="301">
        <v>46405</v>
      </c>
      <c r="S29" s="302" t="s">
        <v>440</v>
      </c>
      <c r="T29" s="303" t="s">
        <v>441</v>
      </c>
      <c r="U29" s="302">
        <v>0.43402777777777779</v>
      </c>
      <c r="V29" s="302">
        <v>0.57986111111111116</v>
      </c>
      <c r="W29" s="304">
        <v>46408</v>
      </c>
      <c r="X29" s="305" t="s">
        <v>442</v>
      </c>
      <c r="Y29" s="305" t="s">
        <v>443</v>
      </c>
      <c r="Z29" s="305">
        <v>0.60763888888888884</v>
      </c>
      <c r="AA29" s="305">
        <v>0.67777777777777781</v>
      </c>
      <c r="AB29" s="313"/>
      <c r="AC29" s="314"/>
      <c r="AD29" s="314"/>
      <c r="AE29" s="305"/>
      <c r="AF29" s="305"/>
      <c r="AG29" s="305"/>
      <c r="AH29" s="305"/>
      <c r="AI29" s="305"/>
      <c r="AJ29" s="305"/>
      <c r="AK29" s="305"/>
      <c r="AL29" s="309" t="s">
        <v>444</v>
      </c>
      <c r="AM29" s="315"/>
      <c r="AN29" s="316"/>
      <c r="AO29" s="309">
        <f>5100*B29</f>
        <v>10200</v>
      </c>
      <c r="AP29" s="309">
        <f>816*B29</f>
        <v>1632</v>
      </c>
      <c r="AQ29" s="309">
        <f>SUM(1924)*B29</f>
        <v>3848</v>
      </c>
      <c r="AR29" s="309">
        <f>AO29+AP29+AQ29</f>
        <v>15680</v>
      </c>
      <c r="AS29" s="309">
        <f>230*B29</f>
        <v>460</v>
      </c>
      <c r="AT29" s="309">
        <f>AS29*16%</f>
        <v>73.600000000000009</v>
      </c>
      <c r="AU29" s="311">
        <f>AR29+AS29+AT29</f>
        <v>16213.6</v>
      </c>
    </row>
    <row r="30" spans="2:47" s="281" customFormat="1" ht="12.75" customHeight="1">
      <c r="B30" s="292">
        <v>8</v>
      </c>
      <c r="C30" s="293"/>
      <c r="D30" s="294"/>
      <c r="E30" s="294"/>
      <c r="F30" s="312" t="s">
        <v>533</v>
      </c>
      <c r="G30" s="317" t="s">
        <v>439</v>
      </c>
      <c r="H30" s="301"/>
      <c r="I30" s="301"/>
      <c r="J30" s="301"/>
      <c r="K30" s="301"/>
      <c r="L30" s="301"/>
      <c r="M30" s="301"/>
      <c r="N30" s="303"/>
      <c r="O30" s="303"/>
      <c r="P30" s="302"/>
      <c r="Q30" s="302"/>
      <c r="R30" s="301">
        <v>46405</v>
      </c>
      <c r="S30" s="302" t="s">
        <v>440</v>
      </c>
      <c r="T30" s="303" t="s">
        <v>441</v>
      </c>
      <c r="U30" s="302">
        <v>0.43402777777777779</v>
      </c>
      <c r="V30" s="302">
        <v>0.57986111111111116</v>
      </c>
      <c r="W30" s="304">
        <v>46408</v>
      </c>
      <c r="X30" s="305" t="s">
        <v>442</v>
      </c>
      <c r="Y30" s="305" t="s">
        <v>443</v>
      </c>
      <c r="Z30" s="305">
        <v>0.60763888888888884</v>
      </c>
      <c r="AA30" s="305">
        <v>0.67777777777777781</v>
      </c>
      <c r="AB30" s="313"/>
      <c r="AC30" s="314"/>
      <c r="AD30" s="314"/>
      <c r="AE30" s="305"/>
      <c r="AF30" s="305"/>
      <c r="AG30" s="305"/>
      <c r="AH30" s="305"/>
      <c r="AI30" s="305"/>
      <c r="AJ30" s="305"/>
      <c r="AK30" s="305"/>
      <c r="AL30" s="309" t="s">
        <v>444</v>
      </c>
      <c r="AM30" s="315"/>
      <c r="AN30" s="316"/>
      <c r="AO30" s="309">
        <f>5100*B30</f>
        <v>40800</v>
      </c>
      <c r="AP30" s="309">
        <f>816*B30</f>
        <v>6528</v>
      </c>
      <c r="AQ30" s="309">
        <f>SUM(1924)*B30</f>
        <v>15392</v>
      </c>
      <c r="AR30" s="309">
        <f>AO30+AP30+AQ30</f>
        <v>62720</v>
      </c>
      <c r="AS30" s="309">
        <f>230*B30</f>
        <v>1840</v>
      </c>
      <c r="AT30" s="309">
        <f>AS30*16%</f>
        <v>294.40000000000003</v>
      </c>
      <c r="AU30" s="311">
        <f>AR30+AS30+AT30</f>
        <v>64854.400000000001</v>
      </c>
    </row>
    <row r="31" spans="2:47" s="281" customFormat="1" ht="12.75" customHeight="1">
      <c r="B31" s="292">
        <v>5</v>
      </c>
      <c r="C31" s="293"/>
      <c r="D31" s="294"/>
      <c r="E31" s="294"/>
      <c r="F31" s="312" t="s">
        <v>534</v>
      </c>
      <c r="G31" s="296" t="s">
        <v>535</v>
      </c>
      <c r="H31" s="301"/>
      <c r="I31" s="301"/>
      <c r="J31" s="301"/>
      <c r="K31" s="301"/>
      <c r="L31" s="301"/>
      <c r="M31" s="298">
        <v>46404</v>
      </c>
      <c r="N31" s="303" t="s">
        <v>536</v>
      </c>
      <c r="O31" s="323" t="s">
        <v>537</v>
      </c>
      <c r="P31" s="302">
        <v>0.49652777777777779</v>
      </c>
      <c r="Q31" s="302">
        <v>0.71875</v>
      </c>
      <c r="R31" s="301">
        <v>46405</v>
      </c>
      <c r="S31" s="302" t="s">
        <v>425</v>
      </c>
      <c r="T31" s="303" t="s">
        <v>426</v>
      </c>
      <c r="U31" s="302">
        <v>0.375</v>
      </c>
      <c r="V31" s="302">
        <v>0.52916666666666667</v>
      </c>
      <c r="W31" s="304">
        <v>46408</v>
      </c>
      <c r="X31" s="305" t="s">
        <v>448</v>
      </c>
      <c r="Y31" s="305" t="s">
        <v>428</v>
      </c>
      <c r="Z31" s="305">
        <v>0.56597222222222221</v>
      </c>
      <c r="AA31" s="305">
        <v>0.63194444444444442</v>
      </c>
      <c r="AB31" s="322">
        <v>46409</v>
      </c>
      <c r="AC31" s="314" t="s">
        <v>635</v>
      </c>
      <c r="AD31" s="314" t="s">
        <v>540</v>
      </c>
      <c r="AE31" s="305">
        <v>0.35069444444444442</v>
      </c>
      <c r="AF31" s="305">
        <v>0.41805555555555557</v>
      </c>
      <c r="AG31" s="305"/>
      <c r="AH31" s="305"/>
      <c r="AI31" s="305"/>
      <c r="AJ31" s="305"/>
      <c r="AK31" s="305"/>
      <c r="AL31" s="319" t="s">
        <v>636</v>
      </c>
      <c r="AM31" s="315"/>
      <c r="AN31" s="316"/>
      <c r="AO31" s="309">
        <f>4900*B31</f>
        <v>24500</v>
      </c>
      <c r="AP31" s="309">
        <f>784*B31</f>
        <v>3920</v>
      </c>
      <c r="AQ31" s="309">
        <f>SUM(2090+1800)*B31</f>
        <v>19450</v>
      </c>
      <c r="AR31" s="309">
        <f>AO31+AP31+AQ31</f>
        <v>47870</v>
      </c>
      <c r="AS31" s="309">
        <f>230*B31</f>
        <v>1150</v>
      </c>
      <c r="AT31" s="309">
        <f>AS31*16%</f>
        <v>184</v>
      </c>
      <c r="AU31" s="311">
        <f>AR31+AS31+AT31</f>
        <v>49204</v>
      </c>
    </row>
    <row r="32" spans="2:47" s="281" customFormat="1" ht="12.75" customHeight="1">
      <c r="B32" s="292">
        <v>27</v>
      </c>
      <c r="C32" s="293"/>
      <c r="D32" s="294"/>
      <c r="E32" s="294"/>
      <c r="F32" s="312" t="s">
        <v>541</v>
      </c>
      <c r="G32" s="296"/>
      <c r="H32" s="301"/>
      <c r="I32" s="301"/>
      <c r="J32" s="301"/>
      <c r="K32" s="301"/>
      <c r="L32" s="301"/>
      <c r="M32" s="301"/>
      <c r="N32" s="303"/>
      <c r="O32" s="323"/>
      <c r="P32" s="302"/>
      <c r="Q32" s="302"/>
      <c r="R32" s="301">
        <v>46405</v>
      </c>
      <c r="S32" s="302" t="s">
        <v>542</v>
      </c>
      <c r="T32" s="303" t="s">
        <v>543</v>
      </c>
      <c r="U32" s="302">
        <v>0.44097222222222221</v>
      </c>
      <c r="V32" s="302">
        <v>0.57916666666666672</v>
      </c>
      <c r="W32" s="304">
        <v>46408</v>
      </c>
      <c r="X32" s="305" t="s">
        <v>544</v>
      </c>
      <c r="Y32" s="305" t="s">
        <v>545</v>
      </c>
      <c r="Z32" s="305">
        <v>0.51527777777777772</v>
      </c>
      <c r="AA32" s="305">
        <v>0.57986111111111116</v>
      </c>
      <c r="AB32" s="313"/>
      <c r="AC32" s="314"/>
      <c r="AD32" s="314"/>
      <c r="AE32" s="305"/>
      <c r="AF32" s="305"/>
      <c r="AG32" s="305"/>
      <c r="AH32" s="305"/>
      <c r="AI32" s="305"/>
      <c r="AJ32" s="305"/>
      <c r="AK32" s="305"/>
      <c r="AL32" s="319" t="s">
        <v>457</v>
      </c>
      <c r="AM32" s="315"/>
      <c r="AN32" s="316"/>
      <c r="AO32" s="309">
        <f>5100*B32</f>
        <v>137700</v>
      </c>
      <c r="AP32" s="309">
        <f>816*B32</f>
        <v>22032</v>
      </c>
      <c r="AQ32" s="309">
        <f>SUM(1128+1314)*B32</f>
        <v>65934</v>
      </c>
      <c r="AR32" s="309">
        <f>AO32+AP32+AQ32</f>
        <v>225666</v>
      </c>
      <c r="AS32" s="309">
        <f>230*B32</f>
        <v>6210</v>
      </c>
      <c r="AT32" s="309">
        <f>AS32*16%</f>
        <v>993.6</v>
      </c>
      <c r="AU32" s="311">
        <f>AR32+AS32+AT32</f>
        <v>232869.6</v>
      </c>
    </row>
    <row r="33" spans="2:47" s="281" customFormat="1" ht="12.75" customHeight="1">
      <c r="B33" s="292">
        <v>12</v>
      </c>
      <c r="C33" s="293"/>
      <c r="D33" s="294"/>
      <c r="E33" s="294"/>
      <c r="F33" s="312" t="s">
        <v>546</v>
      </c>
      <c r="G33" s="296"/>
      <c r="H33" s="301"/>
      <c r="I33" s="301"/>
      <c r="J33" s="301"/>
      <c r="K33" s="301"/>
      <c r="L33" s="301"/>
      <c r="M33" s="301"/>
      <c r="N33" s="303"/>
      <c r="O33" s="323"/>
      <c r="P33" s="302"/>
      <c r="Q33" s="302"/>
      <c r="R33" s="301">
        <v>46405</v>
      </c>
      <c r="S33" s="302" t="s">
        <v>547</v>
      </c>
      <c r="T33" s="303" t="s">
        <v>548</v>
      </c>
      <c r="U33" s="302">
        <v>0.47916666666666669</v>
      </c>
      <c r="V33" s="302">
        <v>0.62083333333333335</v>
      </c>
      <c r="W33" s="304">
        <v>46408</v>
      </c>
      <c r="X33" s="305" t="s">
        <v>549</v>
      </c>
      <c r="Y33" s="305" t="s">
        <v>550</v>
      </c>
      <c r="Z33" s="305">
        <v>0.72499999999999998</v>
      </c>
      <c r="AA33" s="305">
        <v>0.79166666666666663</v>
      </c>
      <c r="AB33" s="313"/>
      <c r="AC33" s="314"/>
      <c r="AD33" s="314"/>
      <c r="AE33" s="305"/>
      <c r="AF33" s="305"/>
      <c r="AG33" s="305"/>
      <c r="AH33" s="305"/>
      <c r="AI33" s="305"/>
      <c r="AJ33" s="305"/>
      <c r="AK33" s="305"/>
      <c r="AL33" s="319" t="s">
        <v>457</v>
      </c>
      <c r="AM33" s="315"/>
      <c r="AN33" s="316"/>
      <c r="AO33" s="309">
        <f>4922*B33</f>
        <v>59064</v>
      </c>
      <c r="AP33" s="309">
        <f>788*B33</f>
        <v>9456</v>
      </c>
      <c r="AQ33" s="309">
        <f>SUM(1000+1224)*B33</f>
        <v>26688</v>
      </c>
      <c r="AR33" s="309">
        <f>AO33+AP33+AQ33</f>
        <v>95208</v>
      </c>
      <c r="AS33" s="309">
        <f>230*B33</f>
        <v>2760</v>
      </c>
      <c r="AT33" s="309">
        <f>AS33*16%</f>
        <v>441.6</v>
      </c>
      <c r="AU33" s="311">
        <f>AR33+AS33+AT33</f>
        <v>98409.600000000006</v>
      </c>
    </row>
    <row r="34" spans="2:47" s="281" customFormat="1" ht="12.75" customHeight="1">
      <c r="B34" s="292">
        <v>2</v>
      </c>
      <c r="C34" s="293"/>
      <c r="D34" s="294"/>
      <c r="E34" s="294"/>
      <c r="F34" s="312" t="s">
        <v>551</v>
      </c>
      <c r="G34" s="296" t="s">
        <v>552</v>
      </c>
      <c r="H34" s="301"/>
      <c r="I34" s="301"/>
      <c r="J34" s="301"/>
      <c r="K34" s="301"/>
      <c r="L34" s="301"/>
      <c r="M34" s="298">
        <v>46404</v>
      </c>
      <c r="N34" s="303" t="s">
        <v>553</v>
      </c>
      <c r="O34" s="323" t="s">
        <v>554</v>
      </c>
      <c r="P34" s="302">
        <v>0.64236111111111116</v>
      </c>
      <c r="Q34" s="302">
        <v>0.72222222222222221</v>
      </c>
      <c r="R34" s="301">
        <v>46405</v>
      </c>
      <c r="S34" s="302" t="s">
        <v>425</v>
      </c>
      <c r="T34" s="303" t="s">
        <v>426</v>
      </c>
      <c r="U34" s="302">
        <v>0.375</v>
      </c>
      <c r="V34" s="302">
        <v>0.52916666666666667</v>
      </c>
      <c r="W34" s="304">
        <v>46408</v>
      </c>
      <c r="X34" s="305" t="s">
        <v>479</v>
      </c>
      <c r="Y34" s="305" t="s">
        <v>428</v>
      </c>
      <c r="Z34" s="305">
        <v>0.35972222222222222</v>
      </c>
      <c r="AA34" s="305">
        <v>0.4236111111111111</v>
      </c>
      <c r="AB34" s="304">
        <v>46408</v>
      </c>
      <c r="AC34" s="314" t="s">
        <v>555</v>
      </c>
      <c r="AD34" s="314" t="s">
        <v>556</v>
      </c>
      <c r="AE34" s="305">
        <v>0.5</v>
      </c>
      <c r="AF34" s="305">
        <v>0.57916666666666672</v>
      </c>
      <c r="AG34" s="305"/>
      <c r="AH34" s="305"/>
      <c r="AI34" s="305"/>
      <c r="AJ34" s="305"/>
      <c r="AK34" s="305"/>
      <c r="AL34" s="319" t="s">
        <v>482</v>
      </c>
      <c r="AM34" s="315"/>
      <c r="AN34" s="316"/>
      <c r="AO34" s="309">
        <f>5204*B34</f>
        <v>10408</v>
      </c>
      <c r="AP34" s="309">
        <f>833*B34</f>
        <v>1666</v>
      </c>
      <c r="AQ34" s="309">
        <f>SUM(1833+1600)*B34</f>
        <v>6866</v>
      </c>
      <c r="AR34" s="309">
        <f>AO34+AP34+AQ34</f>
        <v>18940</v>
      </c>
      <c r="AS34" s="309">
        <f>230*B34</f>
        <v>460</v>
      </c>
      <c r="AT34" s="309">
        <f>AS34*16%</f>
        <v>73.600000000000009</v>
      </c>
      <c r="AU34" s="311">
        <f>AR34+AS34+AT34</f>
        <v>19473.599999999999</v>
      </c>
    </row>
    <row r="35" spans="2:47" s="281" customFormat="1" ht="12.75" customHeight="1">
      <c r="B35" s="292">
        <v>4</v>
      </c>
      <c r="C35" s="293"/>
      <c r="D35" s="294"/>
      <c r="E35" s="294"/>
      <c r="F35" s="312" t="s">
        <v>557</v>
      </c>
      <c r="G35" s="296"/>
      <c r="H35" s="301"/>
      <c r="I35" s="301"/>
      <c r="J35" s="301"/>
      <c r="K35" s="301"/>
      <c r="L35" s="301"/>
      <c r="M35" s="301"/>
      <c r="N35" s="303"/>
      <c r="O35" s="323"/>
      <c r="P35" s="302"/>
      <c r="Q35" s="302"/>
      <c r="R35" s="301">
        <v>46405</v>
      </c>
      <c r="S35" s="302" t="s">
        <v>558</v>
      </c>
      <c r="T35" s="303" t="s">
        <v>559</v>
      </c>
      <c r="U35" s="302">
        <v>0.37986111111111109</v>
      </c>
      <c r="V35" s="302">
        <v>0.58750000000000002</v>
      </c>
      <c r="W35" s="304">
        <v>46408</v>
      </c>
      <c r="X35" s="305" t="s">
        <v>560</v>
      </c>
      <c r="Y35" s="305" t="s">
        <v>561</v>
      </c>
      <c r="Z35" s="305">
        <v>0.54097222222222219</v>
      </c>
      <c r="AA35" s="305">
        <v>0.58750000000000002</v>
      </c>
      <c r="AB35" s="313"/>
      <c r="AC35" s="314"/>
      <c r="AD35" s="314"/>
      <c r="AE35" s="305"/>
      <c r="AF35" s="305"/>
      <c r="AG35" s="305"/>
      <c r="AH35" s="305"/>
      <c r="AI35" s="305"/>
      <c r="AJ35" s="305"/>
      <c r="AK35" s="305"/>
      <c r="AL35" s="319" t="s">
        <v>457</v>
      </c>
      <c r="AM35" s="315"/>
      <c r="AN35" s="316"/>
      <c r="AO35" s="309">
        <f>4800*B35</f>
        <v>19200</v>
      </c>
      <c r="AP35" s="309">
        <f>768*B35</f>
        <v>3072</v>
      </c>
      <c r="AQ35" s="309">
        <f>SUM(1214+1211)*B35</f>
        <v>9700</v>
      </c>
      <c r="AR35" s="309">
        <f>AO35+AP35+AQ35</f>
        <v>31972</v>
      </c>
      <c r="AS35" s="309">
        <f>230*B35</f>
        <v>920</v>
      </c>
      <c r="AT35" s="309">
        <f>AS35*16%</f>
        <v>147.20000000000002</v>
      </c>
      <c r="AU35" s="311">
        <f>AR35+AS35+AT35</f>
        <v>33039.199999999997</v>
      </c>
    </row>
    <row r="36" spans="2:47" s="281" customFormat="1" ht="12.75" customHeight="1">
      <c r="B36" s="292">
        <v>18</v>
      </c>
      <c r="C36" s="293"/>
      <c r="D36" s="294"/>
      <c r="E36" s="294"/>
      <c r="F36" s="312" t="s">
        <v>562</v>
      </c>
      <c r="G36" s="296"/>
      <c r="H36" s="301"/>
      <c r="I36" s="301"/>
      <c r="J36" s="301"/>
      <c r="K36" s="301"/>
      <c r="L36" s="301"/>
      <c r="M36" s="301"/>
      <c r="N36" s="303"/>
      <c r="O36" s="323"/>
      <c r="P36" s="302"/>
      <c r="Q36" s="302"/>
      <c r="R36" s="301">
        <v>46405</v>
      </c>
      <c r="S36" s="302" t="s">
        <v>563</v>
      </c>
      <c r="T36" s="303" t="s">
        <v>564</v>
      </c>
      <c r="U36" s="302">
        <v>0.3298611111111111</v>
      </c>
      <c r="V36" s="302">
        <v>0.46111111111111114</v>
      </c>
      <c r="W36" s="304">
        <v>46408</v>
      </c>
      <c r="X36" s="305" t="s">
        <v>565</v>
      </c>
      <c r="Y36" s="305" t="s">
        <v>566</v>
      </c>
      <c r="Z36" s="305">
        <v>0.49027777777777776</v>
      </c>
      <c r="AA36" s="305">
        <v>0.54236111111111107</v>
      </c>
      <c r="AB36" s="313"/>
      <c r="AC36" s="314"/>
      <c r="AD36" s="314"/>
      <c r="AE36" s="305"/>
      <c r="AF36" s="305"/>
      <c r="AG36" s="305"/>
      <c r="AH36" s="305"/>
      <c r="AI36" s="305"/>
      <c r="AJ36" s="305"/>
      <c r="AK36" s="305"/>
      <c r="AL36" s="319" t="s">
        <v>457</v>
      </c>
      <c r="AM36" s="315"/>
      <c r="AN36" s="316"/>
      <c r="AO36" s="309">
        <f>5300*B36</f>
        <v>95400</v>
      </c>
      <c r="AP36" s="309">
        <f>848*B36</f>
        <v>15264</v>
      </c>
      <c r="AQ36" s="309">
        <f>SUM(852+1211)*B36</f>
        <v>37134</v>
      </c>
      <c r="AR36" s="309">
        <f>AO36+AP36+AQ36</f>
        <v>147798</v>
      </c>
      <c r="AS36" s="309">
        <f>230*B36</f>
        <v>4140</v>
      </c>
      <c r="AT36" s="309">
        <f>AS36*16%</f>
        <v>662.4</v>
      </c>
      <c r="AU36" s="311">
        <f>AR36+AS36+AT36</f>
        <v>152600.4</v>
      </c>
    </row>
    <row r="37" spans="2:47" s="281" customFormat="1" ht="12.75" customHeight="1">
      <c r="B37" s="292">
        <v>10</v>
      </c>
      <c r="C37" s="293"/>
      <c r="D37" s="294"/>
      <c r="E37" s="294"/>
      <c r="F37" s="312" t="s">
        <v>567</v>
      </c>
      <c r="G37" s="296"/>
      <c r="H37" s="301"/>
      <c r="I37" s="301"/>
      <c r="J37" s="301"/>
      <c r="K37" s="301"/>
      <c r="L37" s="301"/>
      <c r="M37" s="301"/>
      <c r="N37" s="303"/>
      <c r="O37" s="323"/>
      <c r="P37" s="302"/>
      <c r="Q37" s="302"/>
      <c r="R37" s="301">
        <v>46405</v>
      </c>
      <c r="S37" s="302" t="s">
        <v>568</v>
      </c>
      <c r="T37" s="303" t="s">
        <v>569</v>
      </c>
      <c r="U37" s="302">
        <v>0.31666666666666665</v>
      </c>
      <c r="V37" s="302">
        <v>0.45347222222222222</v>
      </c>
      <c r="W37" s="304">
        <v>46408</v>
      </c>
      <c r="X37" s="305" t="s">
        <v>570</v>
      </c>
      <c r="Y37" s="305" t="s">
        <v>571</v>
      </c>
      <c r="Z37" s="305">
        <v>0.74236111111111114</v>
      </c>
      <c r="AA37" s="305">
        <v>0.80555555555555558</v>
      </c>
      <c r="AB37" s="313"/>
      <c r="AC37" s="314"/>
      <c r="AD37" s="314"/>
      <c r="AE37" s="305"/>
      <c r="AF37" s="305"/>
      <c r="AG37" s="305"/>
      <c r="AH37" s="305"/>
      <c r="AI37" s="305"/>
      <c r="AJ37" s="305"/>
      <c r="AK37" s="305"/>
      <c r="AL37" s="319" t="s">
        <v>457</v>
      </c>
      <c r="AM37" s="315"/>
      <c r="AN37" s="316"/>
      <c r="AO37" s="309">
        <f>4891*B37</f>
        <v>48910</v>
      </c>
      <c r="AP37" s="309">
        <f>783*B37</f>
        <v>7830</v>
      </c>
      <c r="AQ37" s="309">
        <f>SUM(765+1224)*B37</f>
        <v>19890</v>
      </c>
      <c r="AR37" s="309">
        <f>AO37+AP37+AQ37</f>
        <v>76630</v>
      </c>
      <c r="AS37" s="309">
        <f>230*B37</f>
        <v>2300</v>
      </c>
      <c r="AT37" s="309">
        <f>AS37*16%</f>
        <v>368</v>
      </c>
      <c r="AU37" s="311">
        <f>AR37+AS37+AT37</f>
        <v>79298</v>
      </c>
    </row>
    <row r="38" spans="2:47" s="281" customFormat="1" ht="12.75" customHeight="1">
      <c r="B38" s="292">
        <v>2</v>
      </c>
      <c r="C38" s="293"/>
      <c r="D38" s="294"/>
      <c r="E38" s="294"/>
      <c r="F38" s="312" t="s">
        <v>572</v>
      </c>
      <c r="G38" s="296" t="s">
        <v>573</v>
      </c>
      <c r="H38" s="301"/>
      <c r="I38" s="301"/>
      <c r="J38" s="301"/>
      <c r="K38" s="301"/>
      <c r="L38" s="301"/>
      <c r="M38" s="298">
        <v>46404</v>
      </c>
      <c r="N38" s="303" t="s">
        <v>574</v>
      </c>
      <c r="O38" s="323" t="s">
        <v>575</v>
      </c>
      <c r="P38" s="302">
        <v>0.69166666666666665</v>
      </c>
      <c r="Q38" s="302">
        <v>0.76736111111111116</v>
      </c>
      <c r="R38" s="301">
        <v>46405</v>
      </c>
      <c r="S38" s="302" t="s">
        <v>425</v>
      </c>
      <c r="T38" s="303" t="s">
        <v>426</v>
      </c>
      <c r="U38" s="302">
        <v>0.375</v>
      </c>
      <c r="V38" s="302">
        <v>0.52916666666666667</v>
      </c>
      <c r="W38" s="304">
        <v>46408</v>
      </c>
      <c r="X38" s="305" t="s">
        <v>493</v>
      </c>
      <c r="Y38" s="305" t="s">
        <v>428</v>
      </c>
      <c r="Z38" s="305">
        <v>0.51875000000000004</v>
      </c>
      <c r="AA38" s="305">
        <v>0.58680555555555558</v>
      </c>
      <c r="AB38" s="304">
        <v>46408</v>
      </c>
      <c r="AC38" s="314" t="s">
        <v>576</v>
      </c>
      <c r="AD38" s="314" t="s">
        <v>577</v>
      </c>
      <c r="AE38" s="305">
        <v>0.62847222222222221</v>
      </c>
      <c r="AF38" s="305">
        <v>0.69861111111111107</v>
      </c>
      <c r="AG38" s="305"/>
      <c r="AH38" s="305"/>
      <c r="AI38" s="305"/>
      <c r="AJ38" s="305"/>
      <c r="AK38" s="305"/>
      <c r="AL38" s="319"/>
      <c r="AM38" s="315"/>
      <c r="AN38" s="316"/>
      <c r="AO38" s="309">
        <f>5200*B38</f>
        <v>10400</v>
      </c>
      <c r="AP38" s="309">
        <f>832*B38</f>
        <v>1664</v>
      </c>
      <c r="AQ38" s="309">
        <f>SUM(1205+1600)*B38</f>
        <v>5610</v>
      </c>
      <c r="AR38" s="309">
        <f>AO38+AP38+AQ38</f>
        <v>17674</v>
      </c>
      <c r="AS38" s="309">
        <f>230*B38</f>
        <v>460</v>
      </c>
      <c r="AT38" s="309">
        <f>AS38*16%</f>
        <v>73.600000000000009</v>
      </c>
      <c r="AU38" s="311">
        <f>AR38+AS38+AT38</f>
        <v>18207.599999999999</v>
      </c>
    </row>
    <row r="39" spans="2:47" s="281" customFormat="1" ht="12.75" customHeight="1">
      <c r="B39" s="292">
        <v>1</v>
      </c>
      <c r="C39" s="293"/>
      <c r="D39" s="294"/>
      <c r="E39" s="294"/>
      <c r="F39" s="312" t="s">
        <v>578</v>
      </c>
      <c r="G39" s="296"/>
      <c r="H39" s="301"/>
      <c r="I39" s="302"/>
      <c r="J39" s="301"/>
      <c r="K39" s="300"/>
      <c r="L39" s="300"/>
      <c r="M39" s="301">
        <v>46405</v>
      </c>
      <c r="N39" s="303" t="s">
        <v>579</v>
      </c>
      <c r="O39" s="323" t="s">
        <v>580</v>
      </c>
      <c r="P39" s="302">
        <v>0.21527777777777779</v>
      </c>
      <c r="Q39" s="302">
        <v>0.2986111111111111</v>
      </c>
      <c r="R39" s="301">
        <v>46405</v>
      </c>
      <c r="S39" s="302" t="s">
        <v>542</v>
      </c>
      <c r="T39" s="303" t="s">
        <v>543</v>
      </c>
      <c r="U39" s="302">
        <v>0.44097222222222221</v>
      </c>
      <c r="V39" s="302">
        <v>0.57916666666666672</v>
      </c>
      <c r="W39" s="304">
        <v>46408</v>
      </c>
      <c r="X39" s="305" t="s">
        <v>544</v>
      </c>
      <c r="Y39" s="305" t="s">
        <v>545</v>
      </c>
      <c r="Z39" s="305">
        <v>0.51527777777777772</v>
      </c>
      <c r="AA39" s="305">
        <v>0.57986111111111116</v>
      </c>
      <c r="AB39" s="304">
        <v>46408</v>
      </c>
      <c r="AC39" s="314" t="s">
        <v>579</v>
      </c>
      <c r="AD39" s="314" t="s">
        <v>581</v>
      </c>
      <c r="AE39" s="305">
        <v>0.72916666666666663</v>
      </c>
      <c r="AF39" s="305">
        <v>0.8125</v>
      </c>
      <c r="AG39" s="313"/>
      <c r="AH39" s="305"/>
      <c r="AI39" s="305"/>
      <c r="AJ39" s="305"/>
      <c r="AK39" s="305"/>
      <c r="AL39" s="319" t="s">
        <v>582</v>
      </c>
      <c r="AM39" s="315"/>
      <c r="AN39" s="316"/>
      <c r="AO39" s="309">
        <f>5100*B39</f>
        <v>5100</v>
      </c>
      <c r="AP39" s="309">
        <f>816*B39</f>
        <v>816</v>
      </c>
      <c r="AQ39" s="309">
        <f>SUM(1128+1314+580)*B39</f>
        <v>3022</v>
      </c>
      <c r="AR39" s="309">
        <f>AO39+AP39+AQ39</f>
        <v>8938</v>
      </c>
      <c r="AS39" s="309">
        <f>230*B39</f>
        <v>230</v>
      </c>
      <c r="AT39" s="309">
        <f>AS39*16%</f>
        <v>36.800000000000004</v>
      </c>
      <c r="AU39" s="311">
        <f>AR39+AS39+AT39</f>
        <v>9204.7999999999993</v>
      </c>
    </row>
    <row r="40" spans="2:47" s="281" customFormat="1" ht="12.75" customHeight="1">
      <c r="B40" s="292">
        <v>5</v>
      </c>
      <c r="C40" s="293"/>
      <c r="D40" s="294"/>
      <c r="E40" s="294"/>
      <c r="F40" s="312" t="s">
        <v>583</v>
      </c>
      <c r="G40" s="296"/>
      <c r="H40" s="301"/>
      <c r="I40" s="301"/>
      <c r="J40" s="301"/>
      <c r="K40" s="301"/>
      <c r="L40" s="301"/>
      <c r="M40" s="301"/>
      <c r="N40" s="303"/>
      <c r="O40" s="323"/>
      <c r="P40" s="302"/>
      <c r="Q40" s="302"/>
      <c r="R40" s="301">
        <v>46405</v>
      </c>
      <c r="S40" s="302" t="s">
        <v>584</v>
      </c>
      <c r="T40" s="303" t="s">
        <v>585</v>
      </c>
      <c r="U40" s="302">
        <v>0.29166666666666669</v>
      </c>
      <c r="V40" s="302">
        <v>0.42916666666666664</v>
      </c>
      <c r="W40" s="304">
        <v>46408</v>
      </c>
      <c r="X40" s="305" t="s">
        <v>586</v>
      </c>
      <c r="Y40" s="305" t="s">
        <v>587</v>
      </c>
      <c r="Z40" s="305">
        <v>0.45833333333333331</v>
      </c>
      <c r="AA40" s="305">
        <v>0.52013888888888893</v>
      </c>
      <c r="AB40" s="313"/>
      <c r="AC40" s="314"/>
      <c r="AD40" s="314"/>
      <c r="AE40" s="305"/>
      <c r="AF40" s="305"/>
      <c r="AG40" s="305"/>
      <c r="AH40" s="305"/>
      <c r="AI40" s="305"/>
      <c r="AJ40" s="305"/>
      <c r="AK40" s="305"/>
      <c r="AL40" s="319" t="s">
        <v>457</v>
      </c>
      <c r="AM40" s="315"/>
      <c r="AN40" s="316"/>
      <c r="AO40" s="309">
        <f>8899*B40</f>
        <v>44495</v>
      </c>
      <c r="AP40" s="309">
        <f>1424*B40</f>
        <v>7120</v>
      </c>
      <c r="AQ40" s="309">
        <f>SUM(1116+1353)*B40</f>
        <v>12345</v>
      </c>
      <c r="AR40" s="309">
        <f>AO40+AP40+AQ40</f>
        <v>63960</v>
      </c>
      <c r="AS40" s="309">
        <f>230*B40</f>
        <v>1150</v>
      </c>
      <c r="AT40" s="309">
        <f>AS40*16%</f>
        <v>184</v>
      </c>
      <c r="AU40" s="311">
        <f>AR40+AS40+AT40</f>
        <v>65294</v>
      </c>
    </row>
    <row r="41" spans="2:47" s="281" customFormat="1" ht="12.75" customHeight="1">
      <c r="B41" s="292">
        <v>7</v>
      </c>
      <c r="C41" s="293"/>
      <c r="D41" s="294"/>
      <c r="E41" s="294"/>
      <c r="F41" s="312" t="s">
        <v>588</v>
      </c>
      <c r="G41" s="296"/>
      <c r="H41" s="301"/>
      <c r="I41" s="301"/>
      <c r="J41" s="301"/>
      <c r="K41" s="301"/>
      <c r="L41" s="301"/>
      <c r="M41" s="301">
        <v>46405</v>
      </c>
      <c r="N41" s="303" t="s">
        <v>589</v>
      </c>
      <c r="O41" s="303" t="s">
        <v>590</v>
      </c>
      <c r="P41" s="302">
        <v>0.25694444444444442</v>
      </c>
      <c r="Q41" s="302">
        <v>0.3125</v>
      </c>
      <c r="R41" s="301">
        <v>46405</v>
      </c>
      <c r="S41" s="302" t="s">
        <v>425</v>
      </c>
      <c r="T41" s="303" t="s">
        <v>426</v>
      </c>
      <c r="U41" s="302">
        <v>0.375</v>
      </c>
      <c r="V41" s="302">
        <v>0.52916666666666667</v>
      </c>
      <c r="W41" s="304">
        <v>46408</v>
      </c>
      <c r="X41" s="305" t="s">
        <v>427</v>
      </c>
      <c r="Y41" s="305" t="s">
        <v>428</v>
      </c>
      <c r="Z41" s="305">
        <v>0.59166666666666667</v>
      </c>
      <c r="AA41" s="305">
        <v>0.65972222222222221</v>
      </c>
      <c r="AB41" s="304">
        <v>46408</v>
      </c>
      <c r="AC41" s="314" t="s">
        <v>637</v>
      </c>
      <c r="AD41" s="314" t="s">
        <v>593</v>
      </c>
      <c r="AE41" s="305">
        <v>0.72569444444444442</v>
      </c>
      <c r="AF41" s="305">
        <v>0.77638888888888891</v>
      </c>
      <c r="AG41" s="305"/>
      <c r="AH41" s="305"/>
      <c r="AI41" s="305"/>
      <c r="AJ41" s="305"/>
      <c r="AK41" s="305"/>
      <c r="AL41" s="309" t="s">
        <v>482</v>
      </c>
      <c r="AM41" s="315"/>
      <c r="AN41" s="316"/>
      <c r="AO41" s="309">
        <f>5982*B41</f>
        <v>41874</v>
      </c>
      <c r="AP41" s="309">
        <f>958*B41</f>
        <v>6706</v>
      </c>
      <c r="AQ41" s="309">
        <f>SUM(1267+1600)*B41</f>
        <v>20069</v>
      </c>
      <c r="AR41" s="309">
        <f>AO41+AP41+AQ41</f>
        <v>68649</v>
      </c>
      <c r="AS41" s="309">
        <f>230*B41</f>
        <v>1610</v>
      </c>
      <c r="AT41" s="309">
        <f>AS41*16%</f>
        <v>257.60000000000002</v>
      </c>
      <c r="AU41" s="311">
        <f>AR41+AS41+AT41</f>
        <v>70516.600000000006</v>
      </c>
    </row>
    <row r="42" spans="2:47" s="281" customFormat="1" ht="12.75" customHeight="1">
      <c r="B42" s="292">
        <v>10</v>
      </c>
      <c r="C42" s="293"/>
      <c r="D42" s="294"/>
      <c r="E42" s="294"/>
      <c r="F42" s="312" t="s">
        <v>594</v>
      </c>
      <c r="G42" s="296"/>
      <c r="H42" s="301"/>
      <c r="I42" s="301"/>
      <c r="J42" s="301"/>
      <c r="K42" s="301"/>
      <c r="L42" s="301"/>
      <c r="M42" s="301"/>
      <c r="N42" s="303"/>
      <c r="O42" s="323"/>
      <c r="P42" s="302"/>
      <c r="Q42" s="302"/>
      <c r="R42" s="301">
        <v>46405</v>
      </c>
      <c r="S42" s="302" t="s">
        <v>595</v>
      </c>
      <c r="T42" s="303" t="s">
        <v>596</v>
      </c>
      <c r="U42" s="302">
        <v>0.29166666666666669</v>
      </c>
      <c r="V42" s="302">
        <v>0.59791666666666665</v>
      </c>
      <c r="W42" s="304">
        <v>46408</v>
      </c>
      <c r="X42" s="305" t="s">
        <v>597</v>
      </c>
      <c r="Y42" s="305" t="s">
        <v>598</v>
      </c>
      <c r="Z42" s="305">
        <v>0.62986111111111109</v>
      </c>
      <c r="AA42" s="305">
        <v>0.70694444444444449</v>
      </c>
      <c r="AB42" s="313"/>
      <c r="AC42" s="314"/>
      <c r="AD42" s="314"/>
      <c r="AE42" s="305"/>
      <c r="AF42" s="305"/>
      <c r="AG42" s="305"/>
      <c r="AH42" s="305"/>
      <c r="AI42" s="305"/>
      <c r="AJ42" s="305"/>
      <c r="AK42" s="305"/>
      <c r="AL42" s="319" t="s">
        <v>457</v>
      </c>
      <c r="AM42" s="315"/>
      <c r="AN42" s="316"/>
      <c r="AO42" s="309">
        <f>7486*B42</f>
        <v>74860</v>
      </c>
      <c r="AP42" s="309">
        <f>1198*B42</f>
        <v>11980</v>
      </c>
      <c r="AQ42" s="309">
        <f>SUM(1001+1496)*B42</f>
        <v>24970</v>
      </c>
      <c r="AR42" s="309">
        <f>AO42+AP42+AQ42</f>
        <v>111810</v>
      </c>
      <c r="AS42" s="309">
        <f>230*B42</f>
        <v>2300</v>
      </c>
      <c r="AT42" s="309">
        <f>AS42*16%</f>
        <v>368</v>
      </c>
      <c r="AU42" s="311">
        <f>AR42+AS42+AT42</f>
        <v>114478</v>
      </c>
    </row>
    <row r="43" spans="2:47" s="281" customFormat="1" ht="12.75" customHeight="1">
      <c r="B43" s="292">
        <v>5</v>
      </c>
      <c r="C43" s="293"/>
      <c r="D43" s="294"/>
      <c r="E43" s="294"/>
      <c r="F43" s="312" t="s">
        <v>599</v>
      </c>
      <c r="G43" s="296"/>
      <c r="H43" s="301"/>
      <c r="I43" s="301"/>
      <c r="J43" s="301"/>
      <c r="K43" s="301"/>
      <c r="L43" s="301"/>
      <c r="M43" s="301">
        <v>46405</v>
      </c>
      <c r="N43" s="303" t="s">
        <v>600</v>
      </c>
      <c r="O43" s="323" t="s">
        <v>601</v>
      </c>
      <c r="P43" s="302">
        <v>0.27013888888888887</v>
      </c>
      <c r="Q43" s="302">
        <v>0.34375</v>
      </c>
      <c r="R43" s="301">
        <v>46405</v>
      </c>
      <c r="S43" s="302" t="s">
        <v>425</v>
      </c>
      <c r="T43" s="303" t="s">
        <v>426</v>
      </c>
      <c r="U43" s="302">
        <v>0.375</v>
      </c>
      <c r="V43" s="302">
        <v>0.52916666666666667</v>
      </c>
      <c r="W43" s="304">
        <v>46408</v>
      </c>
      <c r="X43" s="305" t="s">
        <v>468</v>
      </c>
      <c r="Y43" s="305" t="s">
        <v>428</v>
      </c>
      <c r="Z43" s="305">
        <v>0.47222222222222221</v>
      </c>
      <c r="AA43" s="305">
        <v>0.66319444444444442</v>
      </c>
      <c r="AB43" s="304">
        <v>46408</v>
      </c>
      <c r="AC43" s="314" t="s">
        <v>602</v>
      </c>
      <c r="AD43" s="314" t="s">
        <v>603</v>
      </c>
      <c r="AE43" s="305">
        <v>0.57986111111111116</v>
      </c>
      <c r="AF43" s="305">
        <v>0.65972222222222221</v>
      </c>
      <c r="AG43" s="305"/>
      <c r="AH43" s="305"/>
      <c r="AI43" s="305"/>
      <c r="AJ43" s="305"/>
      <c r="AK43" s="305"/>
      <c r="AL43" s="319" t="s">
        <v>482</v>
      </c>
      <c r="AM43" s="315"/>
      <c r="AN43" s="316"/>
      <c r="AO43" s="309">
        <f>6890*B43</f>
        <v>34450</v>
      </c>
      <c r="AP43" s="309">
        <f>1103*B43</f>
        <v>5515</v>
      </c>
      <c r="AQ43" s="309">
        <f>SUM(2481+1600)*B43</f>
        <v>20405</v>
      </c>
      <c r="AR43" s="309">
        <f>AO43+AP43+AQ43</f>
        <v>60370</v>
      </c>
      <c r="AS43" s="309">
        <f>230*B43</f>
        <v>1150</v>
      </c>
      <c r="AT43" s="309">
        <f>AS43*16%</f>
        <v>184</v>
      </c>
      <c r="AU43" s="311">
        <f>AR43+AS43+AT43</f>
        <v>61704</v>
      </c>
    </row>
    <row r="44" spans="2:47" s="281" customFormat="1" ht="12.75" customHeight="1">
      <c r="B44" s="292">
        <v>7</v>
      </c>
      <c r="C44" s="293"/>
      <c r="D44" s="294"/>
      <c r="E44" s="294"/>
      <c r="F44" s="312" t="s">
        <v>604</v>
      </c>
      <c r="G44" s="296"/>
      <c r="H44" s="301"/>
      <c r="I44" s="301"/>
      <c r="J44" s="301"/>
      <c r="K44" s="301"/>
      <c r="L44" s="301"/>
      <c r="M44" s="301"/>
      <c r="N44" s="303"/>
      <c r="O44" s="323"/>
      <c r="P44" s="302"/>
      <c r="Q44" s="302"/>
      <c r="R44" s="301">
        <v>46405</v>
      </c>
      <c r="S44" s="302" t="s">
        <v>605</v>
      </c>
      <c r="T44" s="303" t="s">
        <v>606</v>
      </c>
      <c r="U44" s="302">
        <v>0.43055555555555558</v>
      </c>
      <c r="V44" s="302">
        <v>0.54722222222222228</v>
      </c>
      <c r="W44" s="304">
        <v>46408</v>
      </c>
      <c r="X44" s="305" t="s">
        <v>607</v>
      </c>
      <c r="Y44" s="305" t="s">
        <v>608</v>
      </c>
      <c r="Z44" s="305">
        <v>0.5805555555555556</v>
      </c>
      <c r="AA44" s="305">
        <v>0.61111111111111116</v>
      </c>
      <c r="AB44" s="313"/>
      <c r="AC44" s="314"/>
      <c r="AD44" s="314"/>
      <c r="AE44" s="305"/>
      <c r="AF44" s="305"/>
      <c r="AG44" s="305"/>
      <c r="AH44" s="305"/>
      <c r="AI44" s="305"/>
      <c r="AJ44" s="305"/>
      <c r="AK44" s="305"/>
      <c r="AL44" s="319" t="s">
        <v>457</v>
      </c>
      <c r="AM44" s="315"/>
      <c r="AN44" s="316"/>
      <c r="AO44" s="309">
        <f>4891*B44</f>
        <v>34237</v>
      </c>
      <c r="AP44" s="309">
        <f>783*B44</f>
        <v>5481</v>
      </c>
      <c r="AQ44" s="309">
        <f>SUM(881+1353)*B44</f>
        <v>15638</v>
      </c>
      <c r="AR44" s="309">
        <f>AO44+AP44+AQ44</f>
        <v>55356</v>
      </c>
      <c r="AS44" s="309">
        <f>230*B44</f>
        <v>1610</v>
      </c>
      <c r="AT44" s="309">
        <f>AS44*16%</f>
        <v>257.60000000000002</v>
      </c>
      <c r="AU44" s="311">
        <f>AR44+AS44+AT44</f>
        <v>57223.6</v>
      </c>
    </row>
    <row r="45" spans="2:47" s="281" customFormat="1" ht="12.75" customHeight="1">
      <c r="B45" s="292">
        <v>10</v>
      </c>
      <c r="C45" s="293"/>
      <c r="D45" s="294"/>
      <c r="E45" s="294"/>
      <c r="F45" s="312" t="s">
        <v>609</v>
      </c>
      <c r="G45" s="296"/>
      <c r="H45" s="301"/>
      <c r="I45" s="301"/>
      <c r="J45" s="303"/>
      <c r="K45" s="301"/>
      <c r="L45" s="301"/>
      <c r="M45" s="301"/>
      <c r="N45" s="303"/>
      <c r="O45" s="303"/>
      <c r="P45" s="302"/>
      <c r="Q45" s="302"/>
      <c r="R45" s="301">
        <v>46405</v>
      </c>
      <c r="S45" s="302" t="s">
        <v>610</v>
      </c>
      <c r="T45" s="303" t="s">
        <v>611</v>
      </c>
      <c r="U45" s="302">
        <v>0.32013888888888886</v>
      </c>
      <c r="V45" s="302">
        <v>0.4375</v>
      </c>
      <c r="W45" s="304">
        <v>46408</v>
      </c>
      <c r="X45" s="305" t="s">
        <v>612</v>
      </c>
      <c r="Y45" s="305" t="s">
        <v>613</v>
      </c>
      <c r="Z45" s="305">
        <v>0.25</v>
      </c>
      <c r="AA45" s="305">
        <v>0.28402777777777777</v>
      </c>
      <c r="AB45" s="313"/>
      <c r="AC45" s="314"/>
      <c r="AD45" s="314"/>
      <c r="AE45" s="305"/>
      <c r="AF45" s="305"/>
      <c r="AG45" s="305"/>
      <c r="AH45" s="305"/>
      <c r="AI45" s="305"/>
      <c r="AJ45" s="305"/>
      <c r="AK45" s="305"/>
      <c r="AL45" s="319" t="s">
        <v>444</v>
      </c>
      <c r="AM45" s="315"/>
      <c r="AN45" s="316"/>
      <c r="AO45" s="309">
        <f>3800*B45</f>
        <v>38000</v>
      </c>
      <c r="AP45" s="309">
        <f>608*B45</f>
        <v>6080</v>
      </c>
      <c r="AQ45" s="309">
        <f>SUM(999)*B45</f>
        <v>9990</v>
      </c>
      <c r="AR45" s="309">
        <f>AO45+AP45+AQ45</f>
        <v>54070</v>
      </c>
      <c r="AS45" s="309">
        <f>230*B45</f>
        <v>2300</v>
      </c>
      <c r="AT45" s="309">
        <f>AS45*16%</f>
        <v>368</v>
      </c>
      <c r="AU45" s="311">
        <f>AR45+AS45+AT45</f>
        <v>56738</v>
      </c>
    </row>
    <row r="46" spans="2:47" s="281" customFormat="1" ht="12.75" customHeight="1">
      <c r="B46" s="292">
        <v>6</v>
      </c>
      <c r="C46" s="293"/>
      <c r="D46" s="294"/>
      <c r="E46" s="294"/>
      <c r="F46" s="312" t="s">
        <v>614</v>
      </c>
      <c r="G46" s="296"/>
      <c r="H46" s="301"/>
      <c r="I46" s="301"/>
      <c r="J46" s="301"/>
      <c r="K46" s="301"/>
      <c r="L46" s="301"/>
      <c r="M46" s="301">
        <v>46405</v>
      </c>
      <c r="N46" s="303" t="s">
        <v>615</v>
      </c>
      <c r="O46" s="323" t="s">
        <v>616</v>
      </c>
      <c r="P46" s="302">
        <v>0.27847222222222223</v>
      </c>
      <c r="Q46" s="302">
        <v>0.35416666666666669</v>
      </c>
      <c r="R46" s="301">
        <v>46405</v>
      </c>
      <c r="S46" s="302" t="s">
        <v>591</v>
      </c>
      <c r="T46" s="303" t="s">
        <v>426</v>
      </c>
      <c r="U46" s="302">
        <v>0.4201388888888889</v>
      </c>
      <c r="V46" s="302">
        <v>0.57430555555555551</v>
      </c>
      <c r="W46" s="304">
        <v>46408</v>
      </c>
      <c r="X46" s="305" t="s">
        <v>493</v>
      </c>
      <c r="Y46" s="305" t="s">
        <v>428</v>
      </c>
      <c r="Z46" s="305">
        <v>0.51875000000000004</v>
      </c>
      <c r="AA46" s="305">
        <v>0.58680555555555558</v>
      </c>
      <c r="AB46" s="304">
        <v>46408</v>
      </c>
      <c r="AC46" s="314" t="s">
        <v>617</v>
      </c>
      <c r="AD46" s="314" t="s">
        <v>618</v>
      </c>
      <c r="AE46" s="305">
        <v>0.62847222222222221</v>
      </c>
      <c r="AF46" s="305">
        <v>0.69513888888888886</v>
      </c>
      <c r="AG46" s="305"/>
      <c r="AH46" s="305"/>
      <c r="AI46" s="305"/>
      <c r="AJ46" s="305"/>
      <c r="AK46" s="305"/>
      <c r="AL46" s="319" t="s">
        <v>482</v>
      </c>
      <c r="AM46" s="315"/>
      <c r="AN46" s="316"/>
      <c r="AO46" s="309">
        <f>7200*B46</f>
        <v>43200</v>
      </c>
      <c r="AP46" s="309">
        <f>1152*B46</f>
        <v>6912</v>
      </c>
      <c r="AQ46" s="309">
        <f>SUM(1280+1600)*B46</f>
        <v>17280</v>
      </c>
      <c r="AR46" s="309">
        <f>AO46+AP46+AQ46</f>
        <v>67392</v>
      </c>
      <c r="AS46" s="309">
        <f>230*B46</f>
        <v>1380</v>
      </c>
      <c r="AT46" s="309">
        <f>AS46*16%</f>
        <v>220.8</v>
      </c>
      <c r="AU46" s="311">
        <f>AR46+AS46+AT46</f>
        <v>68992.800000000003</v>
      </c>
    </row>
    <row r="47" spans="2:47" s="281" customFormat="1" ht="12.75" customHeight="1">
      <c r="B47" s="292">
        <v>3</v>
      </c>
      <c r="C47" s="293"/>
      <c r="D47" s="294"/>
      <c r="E47" s="294"/>
      <c r="F47" s="312" t="s">
        <v>619</v>
      </c>
      <c r="G47" s="296"/>
      <c r="H47" s="301"/>
      <c r="I47" s="301"/>
      <c r="J47" s="303"/>
      <c r="K47" s="300"/>
      <c r="L47" s="300"/>
      <c r="M47" s="298">
        <v>46404</v>
      </c>
      <c r="N47" s="303" t="s">
        <v>514</v>
      </c>
      <c r="O47" s="303" t="s">
        <v>620</v>
      </c>
      <c r="P47" s="302">
        <v>0.75</v>
      </c>
      <c r="Q47" s="302">
        <v>0.8125</v>
      </c>
      <c r="R47" s="301">
        <v>46405</v>
      </c>
      <c r="S47" s="302" t="s">
        <v>610</v>
      </c>
      <c r="T47" s="303" t="s">
        <v>611</v>
      </c>
      <c r="U47" s="302">
        <v>0.32013888888888886</v>
      </c>
      <c r="V47" s="302">
        <v>0.4375</v>
      </c>
      <c r="W47" s="304">
        <v>46408</v>
      </c>
      <c r="X47" s="305" t="s">
        <v>612</v>
      </c>
      <c r="Y47" s="305" t="s">
        <v>613</v>
      </c>
      <c r="Z47" s="305">
        <v>0.25</v>
      </c>
      <c r="AA47" s="305">
        <v>0.28402777777777777</v>
      </c>
      <c r="AB47" s="304">
        <v>46408</v>
      </c>
      <c r="AC47" s="314" t="s">
        <v>514</v>
      </c>
      <c r="AD47" s="314" t="s">
        <v>621</v>
      </c>
      <c r="AE47" s="305">
        <v>0.41666666666666669</v>
      </c>
      <c r="AF47" s="305">
        <v>0.48194444444444445</v>
      </c>
      <c r="AG47" s="305"/>
      <c r="AH47" s="305"/>
      <c r="AI47" s="305"/>
      <c r="AJ47" s="305"/>
      <c r="AK47" s="305"/>
      <c r="AL47" s="319" t="s">
        <v>622</v>
      </c>
      <c r="AM47" s="315"/>
      <c r="AN47" s="316"/>
      <c r="AO47" s="309">
        <f>3800*B47</f>
        <v>11400</v>
      </c>
      <c r="AP47" s="309">
        <f>608*B47</f>
        <v>1824</v>
      </c>
      <c r="AQ47" s="309">
        <f>SUM(999+899)*B47</f>
        <v>5694</v>
      </c>
      <c r="AR47" s="309">
        <f>AO47+AP47+AQ47</f>
        <v>18918</v>
      </c>
      <c r="AS47" s="309">
        <f>230*B47</f>
        <v>690</v>
      </c>
      <c r="AT47" s="309">
        <f>AS47*16%</f>
        <v>110.4</v>
      </c>
      <c r="AU47" s="311">
        <f>AR47+AS47+AT47</f>
        <v>19718.400000000001</v>
      </c>
    </row>
    <row r="48" spans="2:47" s="281" customFormat="1" ht="12.75" customHeight="1">
      <c r="B48" s="324">
        <v>1</v>
      </c>
      <c r="C48" s="325"/>
      <c r="D48" s="326"/>
      <c r="E48" s="326"/>
      <c r="F48" s="327" t="s">
        <v>623</v>
      </c>
      <c r="G48" s="328"/>
      <c r="H48" s="329"/>
      <c r="I48" s="329"/>
      <c r="J48" s="330"/>
      <c r="K48" s="331"/>
      <c r="L48" s="331"/>
      <c r="M48" s="332">
        <v>46404</v>
      </c>
      <c r="N48" s="330" t="s">
        <v>514</v>
      </c>
      <c r="O48" s="330" t="s">
        <v>624</v>
      </c>
      <c r="P48" s="333">
        <v>0.55555555555555558</v>
      </c>
      <c r="Q48" s="333">
        <v>0.71527777777777779</v>
      </c>
      <c r="R48" s="329">
        <v>46405</v>
      </c>
      <c r="S48" s="333" t="s">
        <v>610</v>
      </c>
      <c r="T48" s="330" t="s">
        <v>611</v>
      </c>
      <c r="U48" s="333">
        <v>0.32013888888888886</v>
      </c>
      <c r="V48" s="333">
        <v>0.4375</v>
      </c>
      <c r="W48" s="334">
        <v>46408</v>
      </c>
      <c r="X48" s="335" t="s">
        <v>612</v>
      </c>
      <c r="Y48" s="335" t="s">
        <v>613</v>
      </c>
      <c r="Z48" s="335">
        <v>0.25</v>
      </c>
      <c r="AA48" s="335">
        <v>0.28402777777777777</v>
      </c>
      <c r="AB48" s="334">
        <v>46408</v>
      </c>
      <c r="AC48" s="336" t="s">
        <v>514</v>
      </c>
      <c r="AD48" s="336" t="s">
        <v>625</v>
      </c>
      <c r="AE48" s="335">
        <v>0.41666666666666669</v>
      </c>
      <c r="AF48" s="335">
        <v>0.57986111111111116</v>
      </c>
      <c r="AG48" s="337"/>
      <c r="AH48" s="335"/>
      <c r="AI48" s="335"/>
      <c r="AJ48" s="335"/>
      <c r="AK48" s="335"/>
      <c r="AL48" s="338" t="s">
        <v>622</v>
      </c>
      <c r="AM48" s="339"/>
      <c r="AN48" s="340"/>
      <c r="AO48" s="341">
        <f>4800*B48</f>
        <v>4800</v>
      </c>
      <c r="AP48" s="341">
        <f>768*B48</f>
        <v>768</v>
      </c>
      <c r="AQ48" s="341">
        <f>SUM(999+820)*B48</f>
        <v>1819</v>
      </c>
      <c r="AR48" s="341">
        <f>AO48+AP48+AQ48</f>
        <v>7387</v>
      </c>
      <c r="AS48" s="341">
        <f>230*B48</f>
        <v>230</v>
      </c>
      <c r="AT48" s="341">
        <f>AS48*16%</f>
        <v>36.800000000000004</v>
      </c>
      <c r="AU48" s="342">
        <f>AR48+AS48+AT48</f>
        <v>7653.8</v>
      </c>
    </row>
    <row r="49" spans="2:56" ht="12.75" customHeight="1">
      <c r="AL49" s="493" t="s">
        <v>626</v>
      </c>
      <c r="AM49" s="494"/>
      <c r="AN49" s="495"/>
      <c r="AO49" s="343">
        <f>SUM(AO9:AO48)</f>
        <v>2032222</v>
      </c>
      <c r="AP49" s="343">
        <f>SUM(AP9:AP48)</f>
        <v>326406</v>
      </c>
      <c r="AQ49" s="343">
        <f>SUM(AQ9:AQ48)</f>
        <v>908256.6</v>
      </c>
      <c r="AR49" s="343">
        <f>SUM(AR9:AR48)</f>
        <v>3266884.6</v>
      </c>
      <c r="AS49" s="343">
        <f>SUM(AS9:AS48)</f>
        <v>95220</v>
      </c>
      <c r="AT49" s="343">
        <f>SUM(AT9:AT48)</f>
        <v>15235.2</v>
      </c>
      <c r="AU49" s="343">
        <f>SUM(AU9:AU48)</f>
        <v>3377339.8000000003</v>
      </c>
    </row>
    <row r="50" spans="2:56" s="282" customFormat="1" ht="12.75">
      <c r="B50" s="344"/>
      <c r="AL50" s="285"/>
      <c r="AM50" s="285"/>
      <c r="AN50" s="285"/>
      <c r="AO50" s="345"/>
      <c r="AP50" s="345"/>
      <c r="AQ50" s="345"/>
      <c r="AR50" s="345"/>
      <c r="AS50" s="345"/>
      <c r="AT50" s="345"/>
      <c r="AU50" s="345"/>
    </row>
    <row r="51" spans="2:56" ht="12.75">
      <c r="B51" s="286"/>
      <c r="C51" s="487" t="s">
        <v>627</v>
      </c>
      <c r="D51" s="488"/>
      <c r="E51" s="488"/>
      <c r="F51" s="489"/>
      <c r="AT51" s="287"/>
    </row>
    <row r="52" spans="2:56" ht="12.75" customHeight="1">
      <c r="B52" s="286"/>
      <c r="C52" s="280" t="s">
        <v>400</v>
      </c>
      <c r="D52" s="280" t="s">
        <v>400</v>
      </c>
      <c r="H52" s="487" t="s">
        <v>401</v>
      </c>
      <c r="I52" s="488"/>
      <c r="J52" s="488"/>
      <c r="K52" s="488"/>
      <c r="L52" s="488"/>
      <c r="M52" s="488"/>
      <c r="N52" s="488"/>
      <c r="O52" s="488"/>
      <c r="P52" s="488"/>
      <c r="Q52" s="489"/>
      <c r="R52" s="288"/>
      <c r="S52" s="288"/>
      <c r="T52" s="288"/>
      <c r="U52" s="288"/>
      <c r="V52" s="288"/>
      <c r="W52" s="487" t="s">
        <v>402</v>
      </c>
      <c r="X52" s="488"/>
      <c r="Y52" s="488"/>
      <c r="Z52" s="488"/>
      <c r="AA52" s="488"/>
      <c r="AB52" s="488"/>
      <c r="AC52" s="488"/>
      <c r="AD52" s="488"/>
      <c r="AE52" s="488"/>
      <c r="AF52" s="488"/>
      <c r="AG52" s="488"/>
      <c r="AH52" s="488"/>
      <c r="AI52" s="488"/>
      <c r="AJ52" s="488"/>
      <c r="AK52" s="489"/>
      <c r="AT52" s="287"/>
    </row>
    <row r="53" spans="2:56" ht="27">
      <c r="B53" s="346" t="s">
        <v>403</v>
      </c>
      <c r="C53" s="347" t="s">
        <v>404</v>
      </c>
      <c r="D53" s="348" t="s">
        <v>405</v>
      </c>
      <c r="E53" s="348" t="s">
        <v>406</v>
      </c>
      <c r="F53" s="348" t="s">
        <v>407</v>
      </c>
      <c r="G53" s="348" t="s">
        <v>408</v>
      </c>
      <c r="H53" s="348"/>
      <c r="I53" s="348"/>
      <c r="J53" s="348"/>
      <c r="K53" s="348"/>
      <c r="L53" s="348"/>
      <c r="M53" s="348" t="s">
        <v>409</v>
      </c>
      <c r="N53" s="348" t="s">
        <v>410</v>
      </c>
      <c r="O53" s="348" t="s">
        <v>411</v>
      </c>
      <c r="P53" s="348" t="s">
        <v>412</v>
      </c>
      <c r="Q53" s="348" t="s">
        <v>413</v>
      </c>
      <c r="R53" s="348"/>
      <c r="S53" s="348"/>
      <c r="T53" s="348"/>
      <c r="U53" s="348"/>
      <c r="V53" s="349"/>
      <c r="W53" s="350" t="s">
        <v>409</v>
      </c>
      <c r="X53" s="351" t="s">
        <v>410</v>
      </c>
      <c r="Y53" s="351" t="s">
        <v>411</v>
      </c>
      <c r="Z53" s="351" t="s">
        <v>412</v>
      </c>
      <c r="AA53" s="351" t="s">
        <v>413</v>
      </c>
      <c r="AB53" s="351" t="s">
        <v>409</v>
      </c>
      <c r="AC53" s="351" t="s">
        <v>410</v>
      </c>
      <c r="AD53" s="351" t="s">
        <v>411</v>
      </c>
      <c r="AE53" s="351" t="s">
        <v>412</v>
      </c>
      <c r="AF53" s="351" t="s">
        <v>413</v>
      </c>
      <c r="AG53" s="351" t="s">
        <v>409</v>
      </c>
      <c r="AH53" s="351" t="s">
        <v>410</v>
      </c>
      <c r="AI53" s="351" t="s">
        <v>411</v>
      </c>
      <c r="AJ53" s="351" t="s">
        <v>412</v>
      </c>
      <c r="AK53" s="351" t="s">
        <v>413</v>
      </c>
      <c r="AL53" s="347" t="s">
        <v>414</v>
      </c>
      <c r="AM53" s="348" t="s">
        <v>415</v>
      </c>
      <c r="AN53" s="348" t="s">
        <v>416</v>
      </c>
      <c r="AO53" s="348" t="s">
        <v>417</v>
      </c>
      <c r="AP53" s="348" t="s">
        <v>418</v>
      </c>
      <c r="AQ53" s="348" t="s">
        <v>419</v>
      </c>
      <c r="AR53" s="352" t="s">
        <v>70</v>
      </c>
      <c r="AS53" s="348" t="s">
        <v>420</v>
      </c>
      <c r="AT53" s="348" t="s">
        <v>418</v>
      </c>
      <c r="AU53" s="352" t="s">
        <v>70</v>
      </c>
    </row>
    <row r="54" spans="2:56" s="281" customFormat="1" ht="12.75" customHeight="1">
      <c r="B54" s="353">
        <v>1</v>
      </c>
      <c r="C54" s="354"/>
      <c r="D54" s="355"/>
      <c r="E54" s="355"/>
      <c r="F54" s="356"/>
      <c r="G54" s="357"/>
      <c r="H54" s="358"/>
      <c r="I54" s="358"/>
      <c r="J54" s="358"/>
      <c r="K54" s="358"/>
      <c r="L54" s="358"/>
      <c r="M54" s="359"/>
      <c r="N54" s="359"/>
      <c r="O54" s="359"/>
      <c r="P54" s="360"/>
      <c r="Q54" s="360"/>
      <c r="R54" s="360"/>
      <c r="S54" s="360"/>
      <c r="T54" s="360"/>
      <c r="U54" s="360"/>
      <c r="V54" s="360"/>
      <c r="W54" s="361"/>
      <c r="X54" s="361"/>
      <c r="Y54" s="361"/>
      <c r="Z54" s="361"/>
      <c r="AA54" s="361"/>
      <c r="AB54" s="362"/>
      <c r="AC54" s="363"/>
      <c r="AD54" s="363"/>
      <c r="AE54" s="361"/>
      <c r="AF54" s="361"/>
      <c r="AG54" s="361"/>
      <c r="AH54" s="361"/>
      <c r="AI54" s="361"/>
      <c r="AJ54" s="361"/>
      <c r="AK54" s="361"/>
      <c r="AL54" s="364"/>
      <c r="AM54" s="365"/>
      <c r="AN54" s="366"/>
      <c r="AO54" s="367"/>
      <c r="AP54" s="367"/>
      <c r="AQ54" s="367"/>
      <c r="AR54" s="368"/>
      <c r="AS54" s="369"/>
      <c r="AT54" s="369"/>
      <c r="AU54" s="310"/>
    </row>
    <row r="55" spans="2:56" s="281" customFormat="1" ht="12.75" customHeight="1">
      <c r="B55" s="370">
        <v>2</v>
      </c>
      <c r="C55" s="325"/>
      <c r="D55" s="326"/>
      <c r="E55" s="326"/>
      <c r="F55" s="327"/>
      <c r="G55" s="327"/>
      <c r="H55" s="371"/>
      <c r="I55" s="371"/>
      <c r="J55" s="371"/>
      <c r="K55" s="371"/>
      <c r="L55" s="371"/>
      <c r="M55" s="330"/>
      <c r="N55" s="372"/>
      <c r="O55" s="372"/>
      <c r="P55" s="333"/>
      <c r="Q55" s="333"/>
      <c r="R55" s="333"/>
      <c r="S55" s="333"/>
      <c r="T55" s="333"/>
      <c r="U55" s="333"/>
      <c r="V55" s="333"/>
      <c r="W55" s="335"/>
      <c r="X55" s="335"/>
      <c r="Y55" s="335"/>
      <c r="Z55" s="335"/>
      <c r="AA55" s="335"/>
      <c r="AB55" s="373"/>
      <c r="AC55" s="336"/>
      <c r="AD55" s="336"/>
      <c r="AE55" s="335"/>
      <c r="AF55" s="335"/>
      <c r="AG55" s="335"/>
      <c r="AH55" s="335"/>
      <c r="AI55" s="335"/>
      <c r="AJ55" s="335"/>
      <c r="AK55" s="335"/>
      <c r="AL55" s="341"/>
      <c r="AM55" s="339"/>
      <c r="AN55" s="340"/>
      <c r="AO55" s="374"/>
      <c r="AP55" s="374"/>
      <c r="AQ55" s="374"/>
      <c r="AR55" s="374"/>
      <c r="AS55" s="375"/>
      <c r="AT55" s="375"/>
      <c r="AU55" s="310">
        <f>SUM(AR55:AT55)</f>
        <v>0</v>
      </c>
    </row>
    <row r="56" spans="2:56" ht="12.75">
      <c r="AL56" s="493" t="s">
        <v>626</v>
      </c>
      <c r="AM56" s="494"/>
      <c r="AN56" s="495"/>
      <c r="AO56" s="343">
        <f>SUM(AO54:AO55)</f>
        <v>0</v>
      </c>
      <c r="AP56" s="343">
        <f>SUM(AP54:AP55)</f>
        <v>0</v>
      </c>
      <c r="AQ56" s="343">
        <f>SUM(AQ54:AQ55)</f>
        <v>0</v>
      </c>
      <c r="AR56" s="343">
        <f>SUM(AR54:AR55)</f>
        <v>0</v>
      </c>
      <c r="AS56" s="343">
        <f>SUM(AS54:AS55)</f>
        <v>0</v>
      </c>
      <c r="AT56" s="343">
        <f>SUM(AT54:AT55)</f>
        <v>0</v>
      </c>
      <c r="AU56" s="343">
        <f>SUM(AU54:AU55)</f>
        <v>0</v>
      </c>
    </row>
    <row r="57" spans="2:56" ht="12.75">
      <c r="B57" s="286"/>
      <c r="C57" s="487" t="s">
        <v>628</v>
      </c>
      <c r="D57" s="488"/>
      <c r="E57" s="488"/>
      <c r="F57" s="489"/>
      <c r="AT57" s="287"/>
    </row>
    <row r="58" spans="2:56" ht="12.75" customHeight="1">
      <c r="B58" s="286"/>
      <c r="C58" s="280" t="s">
        <v>400</v>
      </c>
      <c r="D58" s="280" t="s">
        <v>400</v>
      </c>
      <c r="H58" s="487" t="s">
        <v>401</v>
      </c>
      <c r="I58" s="488"/>
      <c r="J58" s="488"/>
      <c r="K58" s="488"/>
      <c r="L58" s="488"/>
      <c r="M58" s="488"/>
      <c r="N58" s="488"/>
      <c r="O58" s="488"/>
      <c r="P58" s="488"/>
      <c r="Q58" s="489"/>
      <c r="R58" s="288"/>
      <c r="S58" s="288"/>
      <c r="T58" s="288"/>
      <c r="U58" s="288"/>
      <c r="V58" s="288"/>
      <c r="W58" s="487" t="s">
        <v>402</v>
      </c>
      <c r="X58" s="488"/>
      <c r="Y58" s="48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9"/>
      <c r="AT58" s="287"/>
    </row>
    <row r="59" spans="2:56" ht="27">
      <c r="B59" s="346" t="s">
        <v>403</v>
      </c>
      <c r="C59" s="347" t="s">
        <v>404</v>
      </c>
      <c r="D59" s="348" t="s">
        <v>405</v>
      </c>
      <c r="E59" s="348" t="s">
        <v>406</v>
      </c>
      <c r="F59" s="348" t="s">
        <v>407</v>
      </c>
      <c r="G59" s="349" t="s">
        <v>408</v>
      </c>
      <c r="H59" s="350"/>
      <c r="I59" s="351"/>
      <c r="J59" s="351"/>
      <c r="K59" s="351"/>
      <c r="L59" s="351"/>
      <c r="M59" s="376" t="s">
        <v>409</v>
      </c>
      <c r="N59" s="347" t="s">
        <v>410</v>
      </c>
      <c r="O59" s="348" t="s">
        <v>411</v>
      </c>
      <c r="P59" s="348" t="s">
        <v>412</v>
      </c>
      <c r="Q59" s="348" t="s">
        <v>413</v>
      </c>
      <c r="R59" s="348" t="s">
        <v>409</v>
      </c>
      <c r="S59" s="348" t="s">
        <v>410</v>
      </c>
      <c r="T59" s="348" t="s">
        <v>411</v>
      </c>
      <c r="U59" s="348" t="s">
        <v>412</v>
      </c>
      <c r="V59" s="349" t="s">
        <v>413</v>
      </c>
      <c r="W59" s="350" t="s">
        <v>409</v>
      </c>
      <c r="X59" s="351" t="s">
        <v>410</v>
      </c>
      <c r="Y59" s="351" t="s">
        <v>411</v>
      </c>
      <c r="Z59" s="351" t="s">
        <v>412</v>
      </c>
      <c r="AA59" s="351" t="s">
        <v>413</v>
      </c>
      <c r="AB59" s="351" t="s">
        <v>409</v>
      </c>
      <c r="AC59" s="351" t="s">
        <v>410</v>
      </c>
      <c r="AD59" s="351" t="s">
        <v>411</v>
      </c>
      <c r="AE59" s="351" t="s">
        <v>412</v>
      </c>
      <c r="AF59" s="351" t="s">
        <v>413</v>
      </c>
      <c r="AG59" s="351" t="s">
        <v>409</v>
      </c>
      <c r="AH59" s="351" t="s">
        <v>410</v>
      </c>
      <c r="AI59" s="351" t="s">
        <v>411</v>
      </c>
      <c r="AJ59" s="351" t="s">
        <v>412</v>
      </c>
      <c r="AK59" s="351" t="s">
        <v>413</v>
      </c>
      <c r="AL59" s="347" t="s">
        <v>414</v>
      </c>
      <c r="AM59" s="348" t="s">
        <v>415</v>
      </c>
      <c r="AN59" s="348" t="s">
        <v>416</v>
      </c>
      <c r="AO59" s="348" t="s">
        <v>417</v>
      </c>
      <c r="AP59" s="348" t="s">
        <v>418</v>
      </c>
      <c r="AQ59" s="348" t="s">
        <v>419</v>
      </c>
      <c r="AR59" s="352" t="s">
        <v>70</v>
      </c>
      <c r="AS59" s="348" t="s">
        <v>420</v>
      </c>
      <c r="AT59" s="348" t="s">
        <v>418</v>
      </c>
      <c r="AU59" s="352" t="s">
        <v>70</v>
      </c>
    </row>
    <row r="60" spans="2:56" s="281" customFormat="1" ht="12.75" customHeight="1">
      <c r="B60" s="377">
        <v>1</v>
      </c>
      <c r="C60" s="378"/>
      <c r="D60" s="379"/>
      <c r="E60" s="379"/>
      <c r="F60" s="380"/>
      <c r="G60" s="381"/>
      <c r="H60" s="382"/>
      <c r="I60" s="382"/>
      <c r="J60" s="382"/>
      <c r="K60" s="382"/>
      <c r="L60" s="382"/>
      <c r="M60" s="383"/>
      <c r="N60" s="303"/>
      <c r="O60" s="303"/>
      <c r="P60" s="302"/>
      <c r="Q60" s="302"/>
      <c r="R60" s="303"/>
      <c r="S60" s="303"/>
      <c r="T60" s="303"/>
      <c r="U60" s="302"/>
      <c r="V60" s="302"/>
      <c r="W60" s="384"/>
      <c r="X60" s="384"/>
      <c r="Y60" s="385"/>
      <c r="Z60" s="386"/>
      <c r="AA60" s="386"/>
      <c r="AB60" s="387"/>
      <c r="AC60" s="387"/>
      <c r="AD60" s="387"/>
      <c r="AE60" s="387"/>
      <c r="AF60" s="387"/>
      <c r="AG60" s="388"/>
      <c r="AH60" s="388"/>
      <c r="AI60" s="388"/>
      <c r="AJ60" s="388"/>
      <c r="AK60" s="388"/>
      <c r="AL60" s="389"/>
      <c r="AM60" s="389"/>
      <c r="AN60" s="389"/>
      <c r="AO60" s="310">
        <v>0</v>
      </c>
      <c r="AP60" s="310">
        <v>0</v>
      </c>
      <c r="AQ60" s="310">
        <v>0</v>
      </c>
      <c r="AR60" s="310">
        <f>AO60+AP60+AQ60</f>
        <v>0</v>
      </c>
      <c r="AS60" s="310">
        <v>0</v>
      </c>
      <c r="AT60" s="310">
        <f>AS60*16%</f>
        <v>0</v>
      </c>
      <c r="AU60" s="390">
        <f>AR60+AS60+AT60</f>
        <v>0</v>
      </c>
    </row>
    <row r="61" spans="2:56" s="281" customFormat="1" ht="12.75" customHeight="1">
      <c r="B61" s="377">
        <v>2</v>
      </c>
      <c r="C61" s="391"/>
      <c r="D61" s="294"/>
      <c r="E61" s="294"/>
      <c r="F61" s="295"/>
      <c r="G61" s="296"/>
      <c r="H61" s="392"/>
      <c r="I61" s="392"/>
      <c r="J61" s="392"/>
      <c r="K61" s="392"/>
      <c r="L61" s="392"/>
      <c r="M61" s="393"/>
      <c r="N61" s="393"/>
      <c r="O61" s="303"/>
      <c r="P61" s="393"/>
      <c r="Q61" s="393"/>
      <c r="R61" s="303"/>
      <c r="S61" s="303"/>
      <c r="T61" s="303"/>
      <c r="U61" s="302"/>
      <c r="V61" s="302"/>
      <c r="W61" s="304"/>
      <c r="X61" s="314"/>
      <c r="Y61" s="314"/>
      <c r="Z61" s="305"/>
      <c r="AA61" s="305"/>
      <c r="AB61" s="394"/>
      <c r="AC61" s="394"/>
      <c r="AD61" s="394"/>
      <c r="AE61" s="394"/>
      <c r="AF61" s="394"/>
      <c r="AG61" s="394"/>
      <c r="AH61" s="394"/>
      <c r="AI61" s="394"/>
      <c r="AJ61" s="394"/>
      <c r="AK61" s="394"/>
      <c r="AL61" s="395"/>
      <c r="AM61" s="310"/>
      <c r="AN61" s="310"/>
      <c r="AO61" s="310">
        <v>0</v>
      </c>
      <c r="AP61" s="310">
        <v>0</v>
      </c>
      <c r="AQ61" s="310">
        <v>0</v>
      </c>
      <c r="AR61" s="310">
        <f>AO61+AP61+AQ61</f>
        <v>0</v>
      </c>
      <c r="AS61" s="310">
        <v>0</v>
      </c>
      <c r="AT61" s="310">
        <f>AS61*16%</f>
        <v>0</v>
      </c>
      <c r="AU61" s="390">
        <f>AR61+AS61+AT61</f>
        <v>0</v>
      </c>
    </row>
    <row r="62" spans="2:56" s="281" customFormat="1" ht="12.75" customHeight="1">
      <c r="B62" s="377">
        <v>3</v>
      </c>
      <c r="C62" s="391"/>
      <c r="D62" s="294"/>
      <c r="E62" s="294"/>
      <c r="F62" s="295"/>
      <c r="G62" s="296"/>
      <c r="H62" s="392"/>
      <c r="I62" s="392"/>
      <c r="J62" s="392"/>
      <c r="K62" s="392"/>
      <c r="L62" s="392"/>
      <c r="M62" s="303"/>
      <c r="N62" s="303"/>
      <c r="O62" s="303"/>
      <c r="P62" s="302"/>
      <c r="Q62" s="302"/>
      <c r="R62" s="303"/>
      <c r="S62" s="303"/>
      <c r="T62" s="303"/>
      <c r="U62" s="302"/>
      <c r="V62" s="302"/>
      <c r="W62" s="304"/>
      <c r="X62" s="314"/>
      <c r="Y62" s="314"/>
      <c r="Z62" s="305"/>
      <c r="AA62" s="305"/>
      <c r="AB62" s="394"/>
      <c r="AC62" s="394"/>
      <c r="AD62" s="394"/>
      <c r="AE62" s="394"/>
      <c r="AF62" s="394"/>
      <c r="AG62" s="394"/>
      <c r="AH62" s="394"/>
      <c r="AI62" s="394"/>
      <c r="AJ62" s="394"/>
      <c r="AK62" s="394"/>
      <c r="AL62" s="395"/>
      <c r="AM62" s="310"/>
      <c r="AN62" s="310"/>
      <c r="AO62" s="310"/>
      <c r="AP62" s="310"/>
      <c r="AQ62" s="310"/>
      <c r="AR62" s="310"/>
      <c r="AS62" s="310"/>
      <c r="AT62" s="310"/>
      <c r="AU62" s="390">
        <f>AR62+AS62+AT62</f>
        <v>0</v>
      </c>
    </row>
    <row r="63" spans="2:56" ht="12.75">
      <c r="AL63" s="493" t="s">
        <v>626</v>
      </c>
      <c r="AM63" s="494"/>
      <c r="AN63" s="495"/>
      <c r="AO63" s="343">
        <f>SUM(AO60:AO62)</f>
        <v>0</v>
      </c>
      <c r="AP63" s="343">
        <f>SUM(AP60:AP62)</f>
        <v>0</v>
      </c>
      <c r="AQ63" s="343">
        <f>SUM(AQ60:AQ62)</f>
        <v>0</v>
      </c>
      <c r="AR63" s="343">
        <f>SUM(AR60:AR62)</f>
        <v>0</v>
      </c>
      <c r="AS63" s="343">
        <f>SUM(AS60:AS62)</f>
        <v>0</v>
      </c>
      <c r="AT63" s="343">
        <f>SUM(AT60:AT62)</f>
        <v>0</v>
      </c>
      <c r="AU63" s="343">
        <f>SUM(AU60:AU62)</f>
        <v>0</v>
      </c>
    </row>
    <row r="64" spans="2:56" ht="12.75">
      <c r="C64" s="396"/>
      <c r="D64" s="396"/>
      <c r="E64" s="396"/>
      <c r="F64" s="396"/>
      <c r="G64" s="396"/>
      <c r="H64" s="396"/>
      <c r="I64" s="396"/>
      <c r="J64" s="396"/>
      <c r="K64" s="396"/>
      <c r="L64" s="396"/>
      <c r="Q64" s="280" t="s">
        <v>116</v>
      </c>
      <c r="AE64" s="397"/>
      <c r="BD64" s="398"/>
    </row>
    <row r="66" spans="2:58" ht="12.75">
      <c r="BE66" s="399"/>
      <c r="BF66" s="400"/>
    </row>
    <row r="67" spans="2:58" ht="14.45"/>
    <row r="68" spans="2:58" ht="12.75">
      <c r="B68" s="286"/>
      <c r="C68" s="487" t="s">
        <v>629</v>
      </c>
      <c r="D68" s="488"/>
      <c r="E68" s="488"/>
      <c r="F68" s="489"/>
      <c r="AT68" s="287"/>
    </row>
    <row r="69" spans="2:58" ht="12.75" customHeight="1">
      <c r="B69" s="286"/>
      <c r="C69" s="280" t="s">
        <v>400</v>
      </c>
      <c r="D69" s="280" t="s">
        <v>400</v>
      </c>
      <c r="H69" s="487" t="s">
        <v>401</v>
      </c>
      <c r="I69" s="488"/>
      <c r="J69" s="488"/>
      <c r="K69" s="488"/>
      <c r="L69" s="488"/>
      <c r="M69" s="488"/>
      <c r="N69" s="488"/>
      <c r="O69" s="488"/>
      <c r="P69" s="488"/>
      <c r="Q69" s="488"/>
      <c r="R69" s="488"/>
      <c r="S69" s="488"/>
      <c r="T69" s="488"/>
      <c r="U69" s="488"/>
      <c r="V69" s="489"/>
      <c r="W69" s="487" t="s">
        <v>402</v>
      </c>
      <c r="X69" s="488"/>
      <c r="Y69" s="488"/>
      <c r="Z69" s="488"/>
      <c r="AA69" s="488"/>
      <c r="AB69" s="488"/>
      <c r="AC69" s="488"/>
      <c r="AD69" s="488"/>
      <c r="AE69" s="488"/>
      <c r="AF69" s="488"/>
      <c r="AG69" s="488"/>
      <c r="AH69" s="488"/>
      <c r="AI69" s="488"/>
      <c r="AJ69" s="488"/>
      <c r="AK69" s="489"/>
      <c r="AT69" s="287"/>
    </row>
    <row r="70" spans="2:58" ht="27">
      <c r="B70" s="346" t="s">
        <v>403</v>
      </c>
      <c r="C70" s="347" t="s">
        <v>404</v>
      </c>
      <c r="D70" s="348" t="s">
        <v>405</v>
      </c>
      <c r="E70" s="348" t="s">
        <v>406</v>
      </c>
      <c r="F70" s="348" t="s">
        <v>407</v>
      </c>
      <c r="G70" s="348" t="s">
        <v>408</v>
      </c>
      <c r="H70" s="348"/>
      <c r="I70" s="348"/>
      <c r="J70" s="348"/>
      <c r="K70" s="348"/>
      <c r="L70" s="348"/>
      <c r="M70" s="348" t="s">
        <v>409</v>
      </c>
      <c r="N70" s="348" t="s">
        <v>410</v>
      </c>
      <c r="O70" s="348" t="s">
        <v>411</v>
      </c>
      <c r="P70" s="348" t="s">
        <v>412</v>
      </c>
      <c r="Q70" s="348" t="s">
        <v>413</v>
      </c>
      <c r="R70" s="348" t="s">
        <v>409</v>
      </c>
      <c r="S70" s="348" t="s">
        <v>410</v>
      </c>
      <c r="T70" s="348" t="s">
        <v>411</v>
      </c>
      <c r="U70" s="348" t="s">
        <v>412</v>
      </c>
      <c r="V70" s="348" t="s">
        <v>413</v>
      </c>
      <c r="W70" s="348" t="s">
        <v>409</v>
      </c>
      <c r="X70" s="348" t="s">
        <v>410</v>
      </c>
      <c r="Y70" s="348" t="s">
        <v>411</v>
      </c>
      <c r="Z70" s="348" t="s">
        <v>412</v>
      </c>
      <c r="AA70" s="348" t="s">
        <v>413</v>
      </c>
      <c r="AB70" s="348" t="s">
        <v>409</v>
      </c>
      <c r="AC70" s="348" t="s">
        <v>410</v>
      </c>
      <c r="AD70" s="348" t="s">
        <v>411</v>
      </c>
      <c r="AE70" s="348" t="s">
        <v>412</v>
      </c>
      <c r="AF70" s="348" t="s">
        <v>413</v>
      </c>
      <c r="AG70" s="348"/>
      <c r="AH70" s="348"/>
      <c r="AI70" s="348"/>
      <c r="AJ70" s="348"/>
      <c r="AK70" s="348"/>
      <c r="AL70" s="348" t="s">
        <v>414</v>
      </c>
      <c r="AM70" s="348" t="s">
        <v>415</v>
      </c>
      <c r="AN70" s="348" t="s">
        <v>416</v>
      </c>
      <c r="AO70" s="348" t="s">
        <v>417</v>
      </c>
      <c r="AP70" s="348" t="s">
        <v>418</v>
      </c>
      <c r="AQ70" s="348" t="s">
        <v>419</v>
      </c>
      <c r="AR70" s="352" t="s">
        <v>70</v>
      </c>
      <c r="AS70" s="348" t="s">
        <v>420</v>
      </c>
      <c r="AT70" s="348" t="s">
        <v>418</v>
      </c>
      <c r="AU70" s="352" t="s">
        <v>70</v>
      </c>
    </row>
    <row r="71" spans="2:58" ht="13.5">
      <c r="B71" s="353">
        <v>2</v>
      </c>
      <c r="C71" s="354"/>
      <c r="D71" s="355"/>
      <c r="E71" s="355"/>
      <c r="F71" s="356"/>
      <c r="G71" s="357"/>
      <c r="H71" s="358"/>
      <c r="I71" s="358"/>
      <c r="J71" s="358"/>
      <c r="K71" s="358"/>
      <c r="L71" s="358"/>
      <c r="M71" s="359"/>
      <c r="N71" s="359"/>
      <c r="O71" s="359"/>
      <c r="P71" s="360"/>
      <c r="Q71" s="360"/>
      <c r="R71" s="301">
        <v>46405</v>
      </c>
      <c r="S71" s="302" t="s">
        <v>455</v>
      </c>
      <c r="T71" s="303" t="s">
        <v>426</v>
      </c>
      <c r="U71" s="302">
        <v>0.375</v>
      </c>
      <c r="V71" s="302">
        <v>0.5083333333333333</v>
      </c>
      <c r="W71" s="304">
        <v>46408</v>
      </c>
      <c r="X71" s="305" t="s">
        <v>456</v>
      </c>
      <c r="Y71" s="305" t="s">
        <v>428</v>
      </c>
      <c r="Z71" s="305">
        <v>0.44791666666666669</v>
      </c>
      <c r="AA71" s="305">
        <v>0.88194444444444442</v>
      </c>
      <c r="AB71" s="304"/>
      <c r="AC71" s="314"/>
      <c r="AD71" s="314"/>
      <c r="AE71" s="305"/>
      <c r="AF71" s="305"/>
      <c r="AG71" s="305"/>
      <c r="AH71" s="305"/>
      <c r="AI71" s="305"/>
      <c r="AJ71" s="305"/>
      <c r="AK71" s="305"/>
      <c r="AL71" s="319" t="s">
        <v>457</v>
      </c>
      <c r="AM71" s="315"/>
      <c r="AN71" s="316"/>
      <c r="AO71" s="320">
        <f>5240*B71</f>
        <v>10480</v>
      </c>
      <c r="AP71" s="309">
        <f>839*B71</f>
        <v>1678</v>
      </c>
      <c r="AQ71" s="309">
        <f>SUM(1002+1002)*B71</f>
        <v>4008</v>
      </c>
      <c r="AR71" s="309">
        <f>AO71+AP71+AQ71</f>
        <v>16166</v>
      </c>
      <c r="AS71" s="309">
        <f>230*B71</f>
        <v>460</v>
      </c>
      <c r="AT71" s="309">
        <f>AS71*16%</f>
        <v>73.600000000000009</v>
      </c>
      <c r="AU71" s="311">
        <f>AR71+AS71+AT71</f>
        <v>16699.599999999999</v>
      </c>
      <c r="AV71" s="281"/>
    </row>
    <row r="72" spans="2:58" ht="13.5">
      <c r="B72" s="401">
        <v>1</v>
      </c>
      <c r="C72" s="293"/>
      <c r="D72" s="294"/>
      <c r="E72" s="294"/>
      <c r="F72" s="312"/>
      <c r="G72" s="296"/>
      <c r="H72" s="392"/>
      <c r="I72" s="392"/>
      <c r="J72" s="392"/>
      <c r="K72" s="392"/>
      <c r="L72" s="392"/>
      <c r="M72" s="303"/>
      <c r="N72" s="303"/>
      <c r="O72" s="303"/>
      <c r="P72" s="302"/>
      <c r="Q72" s="302"/>
      <c r="R72" s="303"/>
      <c r="S72" s="302"/>
      <c r="T72" s="302"/>
      <c r="U72" s="302"/>
      <c r="V72" s="302"/>
      <c r="W72" s="304"/>
      <c r="X72" s="305"/>
      <c r="Y72" s="304"/>
      <c r="Z72" s="305"/>
      <c r="AA72" s="305"/>
      <c r="AB72" s="304"/>
      <c r="AC72" s="314"/>
      <c r="AD72" s="314"/>
      <c r="AE72" s="305"/>
      <c r="AF72" s="305"/>
      <c r="AG72" s="305"/>
      <c r="AH72" s="305"/>
      <c r="AI72" s="305"/>
      <c r="AJ72" s="305"/>
      <c r="AK72" s="305"/>
      <c r="AL72" s="309" t="s">
        <v>482</v>
      </c>
      <c r="AM72" s="315"/>
      <c r="AN72" s="316"/>
      <c r="AO72" s="309">
        <f>8154*B72</f>
        <v>8154</v>
      </c>
      <c r="AP72" s="309">
        <f>1305*B72</f>
        <v>1305</v>
      </c>
      <c r="AQ72" s="309">
        <f>SUM(1164+1400)*B72</f>
        <v>2564</v>
      </c>
      <c r="AR72" s="309">
        <f>AO72+AP72+AQ72</f>
        <v>12023</v>
      </c>
      <c r="AS72" s="309">
        <f>230*B72</f>
        <v>230</v>
      </c>
      <c r="AT72" s="309">
        <f>AS72*16%</f>
        <v>36.800000000000004</v>
      </c>
      <c r="AU72" s="311">
        <f>AR72+AS72+AT72</f>
        <v>12289.8</v>
      </c>
    </row>
    <row r="73" spans="2:58" ht="13.5">
      <c r="B73" s="370">
        <v>1</v>
      </c>
      <c r="C73" s="325"/>
      <c r="D73" s="326"/>
      <c r="E73" s="326"/>
      <c r="F73" s="327"/>
      <c r="G73" s="328"/>
      <c r="H73" s="410"/>
      <c r="I73" s="410"/>
      <c r="J73" s="410"/>
      <c r="K73" s="410"/>
      <c r="L73" s="410"/>
      <c r="M73" s="330"/>
      <c r="N73" s="330"/>
      <c r="O73" s="330"/>
      <c r="P73" s="333"/>
      <c r="Q73" s="333"/>
      <c r="R73" s="330"/>
      <c r="S73" s="333"/>
      <c r="T73" s="333"/>
      <c r="U73" s="333"/>
      <c r="V73" s="333"/>
      <c r="W73" s="334"/>
      <c r="X73" s="335"/>
      <c r="Y73" s="334"/>
      <c r="Z73" s="335"/>
      <c r="AA73" s="335"/>
      <c r="AB73" s="334"/>
      <c r="AC73" s="336"/>
      <c r="AD73" s="336"/>
      <c r="AE73" s="335"/>
      <c r="AF73" s="335"/>
      <c r="AG73" s="335"/>
      <c r="AH73" s="335"/>
      <c r="AI73" s="335"/>
      <c r="AJ73" s="335"/>
      <c r="AK73" s="335"/>
      <c r="AL73" s="341" t="s">
        <v>482</v>
      </c>
      <c r="AM73" s="339"/>
      <c r="AN73" s="340"/>
      <c r="AO73" s="341">
        <f>7806*B73</f>
        <v>7806</v>
      </c>
      <c r="AP73" s="341">
        <f>1249*B73</f>
        <v>1249</v>
      </c>
      <c r="AQ73" s="341">
        <f>SUM(1078+1378)*B73</f>
        <v>2456</v>
      </c>
      <c r="AR73" s="341">
        <f>AO73+AP73+AQ73</f>
        <v>11511</v>
      </c>
      <c r="AS73" s="341">
        <f>230*B73</f>
        <v>230</v>
      </c>
      <c r="AT73" s="341">
        <f>AS73*16%</f>
        <v>36.800000000000004</v>
      </c>
      <c r="AU73" s="342">
        <f>AR73+AS73+AT73</f>
        <v>11777.8</v>
      </c>
    </row>
    <row r="74" spans="2:58" ht="12.75" customHeight="1">
      <c r="AL74" s="496" t="s">
        <v>626</v>
      </c>
      <c r="AM74" s="497"/>
      <c r="AN74" s="498"/>
      <c r="AO74" s="343">
        <f>SUM(AO71:AO73)</f>
        <v>26440</v>
      </c>
      <c r="AP74" s="343">
        <f>SUM(AP71:AP73)</f>
        <v>4232</v>
      </c>
      <c r="AQ74" s="343">
        <f>SUM(AQ71:AQ73)</f>
        <v>9028</v>
      </c>
      <c r="AR74" s="343">
        <f>SUM(AR71:AR73)</f>
        <v>39700</v>
      </c>
      <c r="AS74" s="343">
        <f>SUM(AS71:AS73)</f>
        <v>920</v>
      </c>
      <c r="AT74" s="343">
        <f>SUM(AT71:AT73)</f>
        <v>147.20000000000002</v>
      </c>
      <c r="AU74" s="343">
        <f>SUM(AU71:AU73)</f>
        <v>40767.199999999997</v>
      </c>
    </row>
    <row r="75" spans="2:58" ht="12.75">
      <c r="C75" s="396"/>
      <c r="D75" s="396"/>
      <c r="E75" s="396"/>
      <c r="F75" s="396"/>
      <c r="G75" s="396"/>
      <c r="H75" s="396"/>
      <c r="I75" s="396"/>
      <c r="J75" s="396"/>
      <c r="K75" s="396"/>
      <c r="L75" s="396"/>
      <c r="Q75" s="280" t="s">
        <v>116</v>
      </c>
      <c r="AE75" s="397"/>
      <c r="AT75" s="398"/>
    </row>
    <row r="76" spans="2:58" ht="14.45"/>
    <row r="77" spans="2:58" ht="12.75" customHeight="1">
      <c r="AL77" s="496" t="s">
        <v>626</v>
      </c>
      <c r="AM77" s="497"/>
      <c r="AN77" s="498"/>
      <c r="AO77" s="402">
        <f>AO63+AO74</f>
        <v>26440</v>
      </c>
      <c r="AP77" s="402">
        <f>AP63+AP74</f>
        <v>4232</v>
      </c>
      <c r="AQ77" s="402">
        <f>AQ63+AQ74</f>
        <v>9028</v>
      </c>
      <c r="AR77" s="402">
        <f>AR63+AR74</f>
        <v>39700</v>
      </c>
      <c r="AS77" s="402">
        <f>AS63+AS74</f>
        <v>920</v>
      </c>
      <c r="AT77" s="402">
        <f>AT63+AT74</f>
        <v>147.20000000000002</v>
      </c>
      <c r="AU77" s="402">
        <f>AU63+AU74</f>
        <v>40767.199999999997</v>
      </c>
    </row>
    <row r="78" spans="2:58" ht="12.75">
      <c r="AU78" s="399">
        <f>AU74-AT74-AP74</f>
        <v>36388</v>
      </c>
      <c r="AV78" s="400" t="s">
        <v>630</v>
      </c>
    </row>
  </sheetData>
  <autoFilter ref="A8:BF49" xr:uid="{96C4F138-78A7-46C1-B21B-5542A3300D62}"/>
  <mergeCells count="20">
    <mergeCell ref="AL74:AN74"/>
    <mergeCell ref="AL77:AN77"/>
    <mergeCell ref="H58:Q58"/>
    <mergeCell ref="W58:AK58"/>
    <mergeCell ref="AL63:AN63"/>
    <mergeCell ref="C68:F68"/>
    <mergeCell ref="H69:V69"/>
    <mergeCell ref="W69:AK69"/>
    <mergeCell ref="AL49:AN49"/>
    <mergeCell ref="C51:F51"/>
    <mergeCell ref="H52:Q52"/>
    <mergeCell ref="W52:AK52"/>
    <mergeCell ref="AL56:AN56"/>
    <mergeCell ref="C57:F57"/>
    <mergeCell ref="B1:AU1"/>
    <mergeCell ref="B2:AU2"/>
    <mergeCell ref="B3:AU3"/>
    <mergeCell ref="C6:F6"/>
    <mergeCell ref="H7:V7"/>
    <mergeCell ref="W7:AK7"/>
  </mergeCells>
  <pageMargins left="0.70866141732283472" right="0.70866141732283472" top="0.74803149606299213" bottom="0.74803149606299213" header="0.31496062992125984" footer="0.31496062992125984"/>
  <pageSetup scale="3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9694-F87B-41A5-B779-6E38EE111BF0}">
  <dimension ref="A1:BF76"/>
  <sheetViews>
    <sheetView workbookViewId="0"/>
  </sheetViews>
  <sheetFormatPr defaultRowHeight="13.9"/>
  <cols>
    <col min="1" max="1" width="2.7109375" style="280" customWidth="1"/>
    <col min="2" max="2" width="4.28515625" style="283" customWidth="1"/>
    <col min="3" max="3" width="14.28515625" style="280" customWidth="1"/>
    <col min="4" max="4" width="16.5703125" style="280" customWidth="1"/>
    <col min="5" max="5" width="18.5703125" style="280" customWidth="1"/>
    <col min="6" max="6" width="15.28515625" style="280" bestFit="1" customWidth="1"/>
    <col min="7" max="7" width="125" style="280" customWidth="1"/>
    <col min="8" max="8" width="10.85546875" style="280" customWidth="1"/>
    <col min="9" max="9" width="14.28515625" style="280" customWidth="1"/>
    <col min="10" max="10" width="11" style="280" customWidth="1"/>
    <col min="11" max="11" width="10" style="280" customWidth="1"/>
    <col min="12" max="12" width="11.140625" style="280" customWidth="1"/>
    <col min="13" max="13" width="13.42578125" style="280" customWidth="1"/>
    <col min="14" max="14" width="11.7109375" style="280" customWidth="1"/>
    <col min="15" max="15" width="10.7109375" style="280" bestFit="1" customWidth="1"/>
    <col min="16" max="16" width="12.28515625" style="280" customWidth="1"/>
    <col min="17" max="17" width="9.28515625" style="280" bestFit="1" customWidth="1"/>
    <col min="18" max="18" width="12.7109375" style="280" bestFit="1" customWidth="1"/>
    <col min="19" max="19" width="9.28515625" style="280" bestFit="1" customWidth="1"/>
    <col min="20" max="20" width="9.85546875" style="280" bestFit="1" customWidth="1"/>
    <col min="21" max="22" width="9.28515625" style="280" bestFit="1" customWidth="1"/>
    <col min="23" max="23" width="12.7109375" style="280" bestFit="1" customWidth="1"/>
    <col min="24" max="24" width="10.7109375" style="280" bestFit="1" customWidth="1"/>
    <col min="25" max="25" width="9.85546875" style="280" bestFit="1" customWidth="1"/>
    <col min="26" max="27" width="9.28515625" style="280" bestFit="1" customWidth="1"/>
    <col min="28" max="28" width="13.42578125" style="280" bestFit="1" customWidth="1"/>
    <col min="29" max="29" width="14.42578125" style="280" bestFit="1" customWidth="1"/>
    <col min="30" max="30" width="15.7109375" style="280" bestFit="1" customWidth="1"/>
    <col min="31" max="31" width="12.5703125" style="280" bestFit="1" customWidth="1"/>
    <col min="32" max="33" width="11.28515625" style="280" customWidth="1"/>
    <col min="34" max="34" width="14.5703125" style="280" bestFit="1" customWidth="1"/>
    <col min="35" max="37" width="11.28515625" style="280" customWidth="1"/>
    <col min="38" max="38" width="44.7109375" style="280" bestFit="1" customWidth="1"/>
    <col min="39" max="39" width="10.7109375" style="280" customWidth="1"/>
    <col min="40" max="40" width="9.7109375" style="280" customWidth="1"/>
    <col min="41" max="41" width="16" style="280" bestFit="1" customWidth="1"/>
    <col min="42" max="42" width="15.28515625" style="280" bestFit="1" customWidth="1"/>
    <col min="43" max="43" width="15.5703125" style="280" bestFit="1" customWidth="1"/>
    <col min="44" max="44" width="17" style="280" bestFit="1" customWidth="1"/>
    <col min="45" max="45" width="14" style="280" bestFit="1" customWidth="1"/>
    <col min="46" max="46" width="13.28515625" style="280" bestFit="1" customWidth="1"/>
    <col min="47" max="47" width="17" style="280" bestFit="1" customWidth="1"/>
    <col min="48" max="48" width="17.5703125" style="280" customWidth="1"/>
    <col min="49" max="49" width="13.7109375" style="280" bestFit="1" customWidth="1"/>
    <col min="50" max="51" width="12.5703125" style="280" bestFit="1" customWidth="1"/>
    <col min="52" max="52" width="14.28515625" style="280" customWidth="1"/>
    <col min="53" max="53" width="12" style="280" customWidth="1"/>
    <col min="54" max="54" width="13" style="280" customWidth="1"/>
    <col min="55" max="56" width="9.28515625" style="280" bestFit="1" customWidth="1"/>
    <col min="57" max="57" width="12.7109375" style="280" customWidth="1"/>
    <col min="58" max="16384" width="9.140625" style="280"/>
  </cols>
  <sheetData>
    <row r="1" spans="1:52" ht="23.25">
      <c r="B1" s="485" t="s">
        <v>397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 s="485"/>
      <c r="AV1" s="284"/>
      <c r="AW1" s="284"/>
      <c r="AX1" s="284"/>
      <c r="AY1" s="284"/>
      <c r="AZ1" s="284"/>
    </row>
    <row r="2" spans="1:52" ht="23.25">
      <c r="B2" s="485" t="s">
        <v>638</v>
      </c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284"/>
      <c r="AW2" s="284"/>
      <c r="AX2" s="284"/>
      <c r="AY2" s="284"/>
      <c r="AZ2" s="284"/>
    </row>
    <row r="3" spans="1:52" ht="12.75">
      <c r="A3" s="283"/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6"/>
      <c r="AE3" s="486"/>
      <c r="AF3" s="486"/>
      <c r="AG3" s="486"/>
      <c r="AH3" s="486"/>
      <c r="AI3" s="486"/>
      <c r="AJ3" s="486"/>
      <c r="AK3" s="486"/>
      <c r="AL3" s="486"/>
      <c r="AM3" s="486"/>
      <c r="AN3" s="486"/>
      <c r="AO3" s="486"/>
      <c r="AP3" s="486"/>
      <c r="AQ3" s="486"/>
      <c r="AR3" s="486"/>
      <c r="AS3" s="486"/>
      <c r="AT3" s="486"/>
      <c r="AU3" s="486"/>
      <c r="AV3" s="284"/>
      <c r="AW3" s="284"/>
      <c r="AX3" s="284"/>
      <c r="AY3" s="284"/>
      <c r="AZ3" s="284"/>
    </row>
    <row r="4" spans="1:52" ht="12.75">
      <c r="B4" s="286"/>
      <c r="AT4" s="287"/>
    </row>
    <row r="5" spans="1:52" ht="12.75">
      <c r="B5" s="286"/>
      <c r="AT5" s="287"/>
    </row>
    <row r="6" spans="1:52" ht="12.75" customHeight="1">
      <c r="B6" s="286"/>
      <c r="C6" s="487" t="s">
        <v>399</v>
      </c>
      <c r="D6" s="488"/>
      <c r="E6" s="488"/>
      <c r="F6" s="489"/>
      <c r="AT6" s="287"/>
    </row>
    <row r="7" spans="1:52" ht="12.75" customHeight="1">
      <c r="B7" s="286"/>
      <c r="C7" s="280" t="s">
        <v>400</v>
      </c>
      <c r="D7" s="280" t="s">
        <v>400</v>
      </c>
      <c r="H7" s="490" t="s">
        <v>401</v>
      </c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2"/>
      <c r="W7" s="490" t="s">
        <v>402</v>
      </c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2"/>
      <c r="AT7" s="287"/>
    </row>
    <row r="8" spans="1:52" ht="27">
      <c r="B8" s="289" t="s">
        <v>403</v>
      </c>
      <c r="C8" s="290" t="s">
        <v>404</v>
      </c>
      <c r="D8" s="290" t="s">
        <v>405</v>
      </c>
      <c r="E8" s="290" t="s">
        <v>406</v>
      </c>
      <c r="F8" s="290" t="s">
        <v>407</v>
      </c>
      <c r="G8" s="290" t="s">
        <v>408</v>
      </c>
      <c r="H8" s="290" t="s">
        <v>409</v>
      </c>
      <c r="I8" s="290" t="s">
        <v>410</v>
      </c>
      <c r="J8" s="290" t="s">
        <v>411</v>
      </c>
      <c r="K8" s="290" t="s">
        <v>412</v>
      </c>
      <c r="L8" s="290" t="s">
        <v>413</v>
      </c>
      <c r="M8" s="290" t="s">
        <v>409</v>
      </c>
      <c r="N8" s="290" t="s">
        <v>410</v>
      </c>
      <c r="O8" s="290" t="s">
        <v>411</v>
      </c>
      <c r="P8" s="290" t="s">
        <v>412</v>
      </c>
      <c r="Q8" s="290" t="s">
        <v>413</v>
      </c>
      <c r="R8" s="290" t="s">
        <v>409</v>
      </c>
      <c r="S8" s="290" t="s">
        <v>410</v>
      </c>
      <c r="T8" s="290" t="s">
        <v>411</v>
      </c>
      <c r="U8" s="290" t="s">
        <v>412</v>
      </c>
      <c r="V8" s="290" t="s">
        <v>413</v>
      </c>
      <c r="W8" s="290" t="s">
        <v>409</v>
      </c>
      <c r="X8" s="290" t="s">
        <v>410</v>
      </c>
      <c r="Y8" s="290" t="s">
        <v>411</v>
      </c>
      <c r="Z8" s="290" t="s">
        <v>412</v>
      </c>
      <c r="AA8" s="290" t="s">
        <v>413</v>
      </c>
      <c r="AB8" s="290" t="s">
        <v>409</v>
      </c>
      <c r="AC8" s="290" t="s">
        <v>410</v>
      </c>
      <c r="AD8" s="290" t="s">
        <v>411</v>
      </c>
      <c r="AE8" s="290" t="s">
        <v>412</v>
      </c>
      <c r="AF8" s="290" t="s">
        <v>413</v>
      </c>
      <c r="AG8" s="290" t="s">
        <v>409</v>
      </c>
      <c r="AH8" s="290" t="s">
        <v>410</v>
      </c>
      <c r="AI8" s="290" t="s">
        <v>411</v>
      </c>
      <c r="AJ8" s="290" t="s">
        <v>412</v>
      </c>
      <c r="AK8" s="290" t="s">
        <v>413</v>
      </c>
      <c r="AL8" s="290" t="s">
        <v>414</v>
      </c>
      <c r="AM8" s="290" t="s">
        <v>415</v>
      </c>
      <c r="AN8" s="290" t="s">
        <v>416</v>
      </c>
      <c r="AO8" s="290" t="s">
        <v>417</v>
      </c>
      <c r="AP8" s="290" t="s">
        <v>418</v>
      </c>
      <c r="AQ8" s="290" t="s">
        <v>419</v>
      </c>
      <c r="AR8" s="290" t="s">
        <v>70</v>
      </c>
      <c r="AS8" s="290" t="s">
        <v>420</v>
      </c>
      <c r="AT8" s="290" t="s">
        <v>418</v>
      </c>
      <c r="AU8" s="291" t="s">
        <v>70</v>
      </c>
    </row>
    <row r="9" spans="1:52" s="281" customFormat="1" ht="12.75" customHeight="1">
      <c r="B9" s="292">
        <v>3</v>
      </c>
      <c r="C9" s="293"/>
      <c r="D9" s="294"/>
      <c r="E9" s="294"/>
      <c r="F9" s="295" t="s">
        <v>421</v>
      </c>
      <c r="G9" s="296" t="s">
        <v>639</v>
      </c>
      <c r="H9" s="392"/>
      <c r="I9" s="392"/>
      <c r="J9" s="392"/>
      <c r="K9" s="392"/>
      <c r="L9" s="392"/>
      <c r="M9" s="298">
        <v>46418</v>
      </c>
      <c r="N9" s="299" t="s">
        <v>423</v>
      </c>
      <c r="O9" s="299" t="s">
        <v>424</v>
      </c>
      <c r="P9" s="300">
        <v>0.8</v>
      </c>
      <c r="Q9" s="300">
        <v>0.85069444444444442</v>
      </c>
      <c r="R9" s="301">
        <v>46419</v>
      </c>
      <c r="S9" s="302" t="s">
        <v>640</v>
      </c>
      <c r="T9" s="303" t="s">
        <v>641</v>
      </c>
      <c r="U9" s="302">
        <v>0.36805555555555558</v>
      </c>
      <c r="V9" s="302">
        <v>0.65069444444444446</v>
      </c>
      <c r="W9" s="304">
        <v>46422</v>
      </c>
      <c r="X9" s="305" t="s">
        <v>642</v>
      </c>
      <c r="Y9" s="305" t="s">
        <v>643</v>
      </c>
      <c r="Z9" s="305">
        <v>0.70277777777777772</v>
      </c>
      <c r="AA9" s="305">
        <v>0.82986111111111116</v>
      </c>
      <c r="AB9" s="322">
        <v>46423</v>
      </c>
      <c r="AC9" s="411" t="s">
        <v>644</v>
      </c>
      <c r="AD9" s="411" t="s">
        <v>430</v>
      </c>
      <c r="AE9" s="308">
        <v>0.38541666666666669</v>
      </c>
      <c r="AF9" s="308">
        <v>0.43680555555555556</v>
      </c>
      <c r="AG9" s="308"/>
      <c r="AH9" s="308"/>
      <c r="AI9" s="308"/>
      <c r="AJ9" s="308"/>
      <c r="AK9" s="308"/>
      <c r="AL9" s="309" t="s">
        <v>636</v>
      </c>
      <c r="AM9" s="310"/>
      <c r="AN9" s="310"/>
      <c r="AO9" s="309">
        <f>14481*B9</f>
        <v>43443</v>
      </c>
      <c r="AP9" s="309">
        <f>580*B9</f>
        <v>1740</v>
      </c>
      <c r="AQ9" s="309">
        <f>SUM(4104+2240)*B9</f>
        <v>19032</v>
      </c>
      <c r="AR9" s="309">
        <f>AO9+AP9+AQ9</f>
        <v>64215</v>
      </c>
      <c r="AS9" s="309">
        <f>230*B9</f>
        <v>690</v>
      </c>
      <c r="AT9" s="309">
        <f>AS9*16%</f>
        <v>110.4</v>
      </c>
      <c r="AU9" s="311">
        <f>AR9+AS9+AT9</f>
        <v>65015.4</v>
      </c>
    </row>
    <row r="10" spans="1:52" s="281" customFormat="1" ht="12.75" customHeight="1">
      <c r="B10" s="292">
        <v>3</v>
      </c>
      <c r="C10" s="293"/>
      <c r="D10" s="294"/>
      <c r="E10" s="294"/>
      <c r="F10" s="312" t="s">
        <v>432</v>
      </c>
      <c r="G10" s="296"/>
      <c r="H10" s="392"/>
      <c r="I10" s="392"/>
      <c r="J10" s="392"/>
      <c r="K10" s="392"/>
      <c r="L10" s="392"/>
      <c r="M10" s="298">
        <v>46418</v>
      </c>
      <c r="N10" s="303" t="s">
        <v>645</v>
      </c>
      <c r="O10" s="303" t="s">
        <v>434</v>
      </c>
      <c r="P10" s="302">
        <v>0.8305555555555556</v>
      </c>
      <c r="Q10" s="302">
        <v>0.76041666666666663</v>
      </c>
      <c r="R10" s="301">
        <v>46419</v>
      </c>
      <c r="S10" s="302" t="s">
        <v>640</v>
      </c>
      <c r="T10" s="303" t="s">
        <v>641</v>
      </c>
      <c r="U10" s="302">
        <v>0.36805555555555558</v>
      </c>
      <c r="V10" s="302">
        <v>0.65069444444444446</v>
      </c>
      <c r="W10" s="304">
        <v>46422</v>
      </c>
      <c r="X10" s="305" t="s">
        <v>642</v>
      </c>
      <c r="Y10" s="305" t="s">
        <v>643</v>
      </c>
      <c r="Z10" s="305">
        <v>0.70277777777777772</v>
      </c>
      <c r="AA10" s="305">
        <v>0.82986111111111116</v>
      </c>
      <c r="AB10" s="322">
        <v>46423</v>
      </c>
      <c r="AC10" s="314" t="s">
        <v>646</v>
      </c>
      <c r="AD10" s="314" t="s">
        <v>647</v>
      </c>
      <c r="AE10" s="305">
        <v>0.31944444444444442</v>
      </c>
      <c r="AF10" s="305">
        <v>0.37291666666666667</v>
      </c>
      <c r="AG10" s="305"/>
      <c r="AH10" s="305"/>
      <c r="AI10" s="305"/>
      <c r="AJ10" s="305"/>
      <c r="AK10" s="305"/>
      <c r="AL10" s="309" t="s">
        <v>636</v>
      </c>
      <c r="AM10" s="315"/>
      <c r="AN10" s="316"/>
      <c r="AO10" s="309">
        <f>13000*B10</f>
        <v>39000</v>
      </c>
      <c r="AP10" s="309">
        <f>520*B10</f>
        <v>1560</v>
      </c>
      <c r="AQ10" s="309">
        <f>SUM(3749+2240)*B10</f>
        <v>17967</v>
      </c>
      <c r="AR10" s="309">
        <f>AO10+AP10+AQ10</f>
        <v>58527</v>
      </c>
      <c r="AS10" s="309">
        <f>230*B10</f>
        <v>690</v>
      </c>
      <c r="AT10" s="309">
        <f>AS10*16%</f>
        <v>110.4</v>
      </c>
      <c r="AU10" s="311">
        <f>AR10+AS10+AT10</f>
        <v>59327.4</v>
      </c>
    </row>
    <row r="11" spans="1:52" s="281" customFormat="1" ht="12.75" customHeight="1">
      <c r="B11" s="292">
        <v>4</v>
      </c>
      <c r="C11" s="293"/>
      <c r="D11" s="294"/>
      <c r="E11" s="294"/>
      <c r="F11" s="312" t="s">
        <v>438</v>
      </c>
      <c r="G11" s="412"/>
      <c r="H11" s="413"/>
      <c r="I11" s="413"/>
      <c r="J11" s="413"/>
      <c r="K11" s="413"/>
      <c r="L11" s="413"/>
      <c r="M11" s="298">
        <v>46418</v>
      </c>
      <c r="N11" s="303" t="s">
        <v>648</v>
      </c>
      <c r="O11" s="303" t="s">
        <v>649</v>
      </c>
      <c r="P11" s="302">
        <v>0.74236111111111114</v>
      </c>
      <c r="Q11" s="302">
        <v>0.79166666666666663</v>
      </c>
      <c r="R11" s="301">
        <v>46419</v>
      </c>
      <c r="S11" s="302" t="s">
        <v>640</v>
      </c>
      <c r="T11" s="303" t="s">
        <v>641</v>
      </c>
      <c r="U11" s="302">
        <v>0.36805555555555558</v>
      </c>
      <c r="V11" s="302">
        <v>0.65069444444444446</v>
      </c>
      <c r="W11" s="304">
        <v>46422</v>
      </c>
      <c r="X11" s="305" t="s">
        <v>642</v>
      </c>
      <c r="Y11" s="305" t="s">
        <v>643</v>
      </c>
      <c r="Z11" s="305">
        <v>0.70277777777777772</v>
      </c>
      <c r="AA11" s="305">
        <v>0.82986111111111116</v>
      </c>
      <c r="AB11" s="322">
        <v>46423</v>
      </c>
      <c r="AC11" s="314" t="s">
        <v>650</v>
      </c>
      <c r="AD11" s="314" t="s">
        <v>651</v>
      </c>
      <c r="AE11" s="305">
        <v>0.3298611111111111</v>
      </c>
      <c r="AF11" s="305">
        <v>0.37847222222222221</v>
      </c>
      <c r="AG11" s="305"/>
      <c r="AH11" s="305"/>
      <c r="AI11" s="305"/>
      <c r="AJ11" s="305"/>
      <c r="AK11" s="305"/>
      <c r="AL11" s="309" t="s">
        <v>636</v>
      </c>
      <c r="AM11" s="315"/>
      <c r="AN11" s="316"/>
      <c r="AO11" s="309">
        <f>13000*B11</f>
        <v>52000</v>
      </c>
      <c r="AP11" s="309">
        <f>520*B11</f>
        <v>2080</v>
      </c>
      <c r="AQ11" s="309">
        <f>SUM(3911+2240)*B11</f>
        <v>24604</v>
      </c>
      <c r="AR11" s="309">
        <f>AO11+AP11+AQ11</f>
        <v>78684</v>
      </c>
      <c r="AS11" s="309">
        <f>230*B11</f>
        <v>920</v>
      </c>
      <c r="AT11" s="309">
        <f>AS11*16%</f>
        <v>147.20000000000002</v>
      </c>
      <c r="AU11" s="311">
        <f>AR11+AS11+AT11</f>
        <v>79751.199999999997</v>
      </c>
    </row>
    <row r="12" spans="1:52" s="281" customFormat="1" ht="12.75" customHeight="1">
      <c r="B12" s="292">
        <v>7</v>
      </c>
      <c r="C12" s="293"/>
      <c r="D12" s="294"/>
      <c r="E12" s="294"/>
      <c r="F12" s="312" t="s">
        <v>445</v>
      </c>
      <c r="G12" s="296"/>
      <c r="H12" s="392"/>
      <c r="I12" s="392"/>
      <c r="J12" s="392"/>
      <c r="K12" s="392"/>
      <c r="L12" s="392"/>
      <c r="M12" s="298">
        <v>46418</v>
      </c>
      <c r="N12" s="303" t="s">
        <v>652</v>
      </c>
      <c r="O12" s="303" t="s">
        <v>653</v>
      </c>
      <c r="P12" s="302">
        <v>0.77500000000000002</v>
      </c>
      <c r="Q12" s="302">
        <v>0.875</v>
      </c>
      <c r="R12" s="301">
        <v>46419</v>
      </c>
      <c r="S12" s="302" t="s">
        <v>640</v>
      </c>
      <c r="T12" s="303" t="s">
        <v>641</v>
      </c>
      <c r="U12" s="302">
        <v>0.36805555555555558</v>
      </c>
      <c r="V12" s="302">
        <v>0.65069444444444446</v>
      </c>
      <c r="W12" s="304">
        <v>46422</v>
      </c>
      <c r="X12" s="305" t="s">
        <v>642</v>
      </c>
      <c r="Y12" s="305" t="s">
        <v>643</v>
      </c>
      <c r="Z12" s="305">
        <v>0.70277777777777772</v>
      </c>
      <c r="AA12" s="305">
        <v>0.82986111111111116</v>
      </c>
      <c r="AB12" s="322">
        <v>46423</v>
      </c>
      <c r="AC12" s="314" t="s">
        <v>654</v>
      </c>
      <c r="AD12" s="314" t="s">
        <v>450</v>
      </c>
      <c r="AE12" s="305">
        <v>0.41319444444444442</v>
      </c>
      <c r="AF12" s="305">
        <v>0.51875000000000004</v>
      </c>
      <c r="AG12" s="305"/>
      <c r="AH12" s="305"/>
      <c r="AI12" s="305"/>
      <c r="AJ12" s="305"/>
      <c r="AK12" s="305"/>
      <c r="AL12" s="309" t="s">
        <v>636</v>
      </c>
      <c r="AM12" s="315"/>
      <c r="AN12" s="316"/>
      <c r="AO12" s="309">
        <f>14699*B12</f>
        <v>102893</v>
      </c>
      <c r="AP12" s="309">
        <f>588*B12</f>
        <v>4116</v>
      </c>
      <c r="AQ12" s="309">
        <f>SUM(4110+2240)*B12</f>
        <v>44450</v>
      </c>
      <c r="AR12" s="309">
        <f>AO12+AP12+AQ12</f>
        <v>151459</v>
      </c>
      <c r="AS12" s="309">
        <f>230*B12</f>
        <v>1610</v>
      </c>
      <c r="AT12" s="309">
        <f>AS12*16%</f>
        <v>257.60000000000002</v>
      </c>
      <c r="AU12" s="311">
        <f>AR12+AS12+AT12</f>
        <v>153326.6</v>
      </c>
    </row>
    <row r="13" spans="1:52" s="281" customFormat="1" ht="12.75" customHeight="1">
      <c r="B13" s="292">
        <v>70</v>
      </c>
      <c r="C13" s="293"/>
      <c r="D13" s="294"/>
      <c r="E13" s="294"/>
      <c r="F13" s="312" t="s">
        <v>452</v>
      </c>
      <c r="G13" s="296"/>
      <c r="H13" s="301"/>
      <c r="I13" s="301"/>
      <c r="J13" s="301"/>
      <c r="K13" s="301"/>
      <c r="L13" s="301"/>
      <c r="M13" s="301">
        <v>46419</v>
      </c>
      <c r="N13" s="303" t="s">
        <v>655</v>
      </c>
      <c r="O13" s="303" t="s">
        <v>656</v>
      </c>
      <c r="P13" s="302">
        <v>0.24652777777777779</v>
      </c>
      <c r="Q13" s="302">
        <v>0.44444444444444442</v>
      </c>
      <c r="R13" s="301">
        <v>46419</v>
      </c>
      <c r="S13" s="302" t="s">
        <v>657</v>
      </c>
      <c r="T13" s="303" t="s">
        <v>658</v>
      </c>
      <c r="U13" s="302">
        <v>0.47291666666666665</v>
      </c>
      <c r="V13" s="302">
        <v>0.62013888888888891</v>
      </c>
      <c r="W13" s="304">
        <v>46422</v>
      </c>
      <c r="X13" s="305" t="s">
        <v>659</v>
      </c>
      <c r="Y13" s="305" t="s">
        <v>660</v>
      </c>
      <c r="Z13" s="305">
        <v>0.52708333333333335</v>
      </c>
      <c r="AA13" s="305">
        <v>0.6020833333333333</v>
      </c>
      <c r="AB13" s="304">
        <v>46422</v>
      </c>
      <c r="AC13" s="314" t="s">
        <v>661</v>
      </c>
      <c r="AD13" s="314" t="s">
        <v>662</v>
      </c>
      <c r="AE13" s="305">
        <v>0.68055555555555558</v>
      </c>
      <c r="AF13" s="305">
        <v>0.80555555555555558</v>
      </c>
      <c r="AG13" s="305"/>
      <c r="AH13" s="305"/>
      <c r="AI13" s="305"/>
      <c r="AJ13" s="305"/>
      <c r="AK13" s="305"/>
      <c r="AL13" s="319" t="s">
        <v>663</v>
      </c>
      <c r="AM13" s="315"/>
      <c r="AN13" s="316"/>
      <c r="AO13" s="309">
        <f>14922*B13</f>
        <v>1044540</v>
      </c>
      <c r="AP13" s="309">
        <f>597*B13</f>
        <v>41790</v>
      </c>
      <c r="AQ13" s="309">
        <f>4937*B13</f>
        <v>345590</v>
      </c>
      <c r="AR13" s="309">
        <f>AO13+AP13+AQ13</f>
        <v>1431920</v>
      </c>
      <c r="AS13" s="309">
        <f>230*B13</f>
        <v>16100</v>
      </c>
      <c r="AT13" s="309">
        <f>AS13*16%</f>
        <v>2576</v>
      </c>
      <c r="AU13" s="311">
        <f>AR13+AS13+AT13</f>
        <v>1450596</v>
      </c>
    </row>
    <row r="14" spans="1:52" s="281" customFormat="1" ht="12.75" customHeight="1">
      <c r="B14" s="292">
        <v>70</v>
      </c>
      <c r="C14" s="293"/>
      <c r="D14" s="294"/>
      <c r="E14" s="294"/>
      <c r="F14" s="312" t="s">
        <v>452</v>
      </c>
      <c r="G14" s="296" t="s">
        <v>664</v>
      </c>
      <c r="H14" s="301"/>
      <c r="I14" s="301"/>
      <c r="J14" s="301"/>
      <c r="K14" s="301"/>
      <c r="L14" s="301"/>
      <c r="M14" s="301"/>
      <c r="N14" s="303"/>
      <c r="O14" s="303"/>
      <c r="P14" s="302"/>
      <c r="Q14" s="302"/>
      <c r="R14" s="301">
        <v>46419</v>
      </c>
      <c r="S14" s="302" t="s">
        <v>665</v>
      </c>
      <c r="T14" s="303" t="s">
        <v>666</v>
      </c>
      <c r="U14" s="302">
        <v>0.69861111111111107</v>
      </c>
      <c r="V14" s="302">
        <v>0.92638888888888893</v>
      </c>
      <c r="W14" s="304">
        <v>46422</v>
      </c>
      <c r="X14" s="305" t="s">
        <v>667</v>
      </c>
      <c r="Y14" s="305" t="s">
        <v>668</v>
      </c>
      <c r="Z14" s="305">
        <v>0.25</v>
      </c>
      <c r="AA14" s="305">
        <v>0.37916666666666665</v>
      </c>
      <c r="AB14" s="304"/>
      <c r="AC14" s="314"/>
      <c r="AD14" s="314"/>
      <c r="AE14" s="305"/>
      <c r="AF14" s="305"/>
      <c r="AG14" s="305"/>
      <c r="AH14" s="305"/>
      <c r="AI14" s="305"/>
      <c r="AJ14" s="305"/>
      <c r="AK14" s="305"/>
      <c r="AL14" s="319" t="s">
        <v>669</v>
      </c>
      <c r="AM14" s="315"/>
      <c r="AN14" s="316"/>
      <c r="AO14" s="320">
        <f>8925*B14</f>
        <v>624750</v>
      </c>
      <c r="AP14" s="309">
        <f>357*B14</f>
        <v>24990</v>
      </c>
      <c r="AQ14" s="309">
        <f>3995*B14</f>
        <v>279650</v>
      </c>
      <c r="AR14" s="309">
        <f>AO14+AP14+AQ14</f>
        <v>929390</v>
      </c>
      <c r="AS14" s="309">
        <f>230*B14</f>
        <v>16100</v>
      </c>
      <c r="AT14" s="309">
        <f>AS14*16%</f>
        <v>2576</v>
      </c>
      <c r="AU14" s="311">
        <f>AR14+AS14+AT14</f>
        <v>948066</v>
      </c>
    </row>
    <row r="15" spans="1:52" s="281" customFormat="1" ht="12.75" customHeight="1">
      <c r="B15" s="292">
        <v>5</v>
      </c>
      <c r="C15" s="293"/>
      <c r="D15" s="294"/>
      <c r="E15" s="294"/>
      <c r="F15" s="312" t="s">
        <v>458</v>
      </c>
      <c r="G15" s="296"/>
      <c r="H15" s="301"/>
      <c r="I15" s="301"/>
      <c r="J15" s="301"/>
      <c r="K15" s="301"/>
      <c r="L15" s="301"/>
      <c r="M15" s="298">
        <v>46418</v>
      </c>
      <c r="N15" s="303" t="s">
        <v>670</v>
      </c>
      <c r="O15" s="303" t="s">
        <v>671</v>
      </c>
      <c r="P15" s="302">
        <v>0.65763888888888888</v>
      </c>
      <c r="Q15" s="302">
        <v>0.8125</v>
      </c>
      <c r="R15" s="301">
        <v>46419</v>
      </c>
      <c r="S15" s="302" t="s">
        <v>640</v>
      </c>
      <c r="T15" s="303" t="s">
        <v>641</v>
      </c>
      <c r="U15" s="302">
        <v>0.36805555555555558</v>
      </c>
      <c r="V15" s="302">
        <v>0.65069444444444446</v>
      </c>
      <c r="W15" s="304">
        <v>46422</v>
      </c>
      <c r="X15" s="305" t="s">
        <v>642</v>
      </c>
      <c r="Y15" s="305" t="s">
        <v>643</v>
      </c>
      <c r="Z15" s="305">
        <v>0.70277777777777772</v>
      </c>
      <c r="AA15" s="305">
        <v>0.82986111111111116</v>
      </c>
      <c r="AB15" s="322">
        <v>46423</v>
      </c>
      <c r="AC15" s="314" t="s">
        <v>672</v>
      </c>
      <c r="AD15" s="305" t="s">
        <v>673</v>
      </c>
      <c r="AE15" s="305">
        <v>0.34027777777777779</v>
      </c>
      <c r="AF15" s="305">
        <v>0.4236111111111111</v>
      </c>
      <c r="AG15" s="305"/>
      <c r="AH15" s="305"/>
      <c r="AI15" s="305"/>
      <c r="AJ15" s="305"/>
      <c r="AK15" s="305"/>
      <c r="AL15" s="309" t="s">
        <v>636</v>
      </c>
      <c r="AM15" s="315"/>
      <c r="AN15" s="316"/>
      <c r="AO15" s="309">
        <f>14000*B15</f>
        <v>70000</v>
      </c>
      <c r="AP15" s="309">
        <f>560*B15</f>
        <v>2800</v>
      </c>
      <c r="AQ15" s="309">
        <f>SUM(3736+3455)*B15</f>
        <v>35955</v>
      </c>
      <c r="AR15" s="309">
        <f>AO15+AP15+AQ15</f>
        <v>108755</v>
      </c>
      <c r="AS15" s="309">
        <f>230*B15</f>
        <v>1150</v>
      </c>
      <c r="AT15" s="309">
        <f>AS15*16%</f>
        <v>184</v>
      </c>
      <c r="AU15" s="311">
        <f>AR15+AS15+AT15</f>
        <v>110089</v>
      </c>
    </row>
    <row r="16" spans="1:52" s="281" customFormat="1" ht="12.75" customHeight="1">
      <c r="B16" s="292">
        <v>2</v>
      </c>
      <c r="C16" s="293"/>
      <c r="D16" s="294"/>
      <c r="E16" s="294"/>
      <c r="F16" s="312" t="s">
        <v>463</v>
      </c>
      <c r="G16" s="296"/>
      <c r="H16" s="301"/>
      <c r="I16" s="301"/>
      <c r="J16" s="301"/>
      <c r="K16" s="301"/>
      <c r="L16" s="301"/>
      <c r="M16" s="414"/>
      <c r="N16" s="303"/>
      <c r="O16" s="303"/>
      <c r="P16" s="302"/>
      <c r="Q16" s="302"/>
      <c r="R16" s="301">
        <v>46419</v>
      </c>
      <c r="S16" s="302" t="s">
        <v>674</v>
      </c>
      <c r="T16" s="303" t="s">
        <v>675</v>
      </c>
      <c r="U16" s="302">
        <v>0.38124999999999998</v>
      </c>
      <c r="V16" s="302">
        <v>0.4826388888888889</v>
      </c>
      <c r="W16" s="304">
        <v>46422</v>
      </c>
      <c r="X16" s="305" t="s">
        <v>674</v>
      </c>
      <c r="Y16" s="305" t="s">
        <v>676</v>
      </c>
      <c r="Z16" s="305">
        <v>0.38124999999999998</v>
      </c>
      <c r="AA16" s="305">
        <v>0.4826388888888889</v>
      </c>
      <c r="AB16" s="313"/>
      <c r="AC16" s="314"/>
      <c r="AD16" s="305"/>
      <c r="AE16" s="305"/>
      <c r="AF16" s="305"/>
      <c r="AG16" s="305"/>
      <c r="AH16" s="305"/>
      <c r="AI16" s="305"/>
      <c r="AJ16" s="305"/>
      <c r="AK16" s="305"/>
      <c r="AL16" s="309" t="s">
        <v>669</v>
      </c>
      <c r="AM16" s="315"/>
      <c r="AN16" s="316"/>
      <c r="AO16" s="309">
        <f>8100*B16</f>
        <v>16200</v>
      </c>
      <c r="AP16" s="309">
        <f>324*B16</f>
        <v>648</v>
      </c>
      <c r="AQ16" s="309">
        <f>SUM(4147)*B16</f>
        <v>8294</v>
      </c>
      <c r="AR16" s="309">
        <f>AO16+AP16+AQ16</f>
        <v>25142</v>
      </c>
      <c r="AS16" s="309">
        <f>230*B16</f>
        <v>460</v>
      </c>
      <c r="AT16" s="309">
        <f>AS16*16%</f>
        <v>73.600000000000009</v>
      </c>
      <c r="AU16" s="311">
        <f>AR16+AS16+AT16</f>
        <v>25675.599999999999</v>
      </c>
    </row>
    <row r="17" spans="2:47" s="281" customFormat="1" ht="12.75" customHeight="1">
      <c r="B17" s="292">
        <v>1</v>
      </c>
      <c r="C17" s="293"/>
      <c r="D17" s="294"/>
      <c r="E17" s="294"/>
      <c r="F17" s="312" t="s">
        <v>465</v>
      </c>
      <c r="G17" s="296"/>
      <c r="H17" s="414"/>
      <c r="I17" s="301"/>
      <c r="J17" s="303"/>
      <c r="K17" s="300"/>
      <c r="L17" s="300"/>
      <c r="M17" s="298">
        <v>46418</v>
      </c>
      <c r="N17" s="303" t="s">
        <v>466</v>
      </c>
      <c r="O17" s="303" t="s">
        <v>467</v>
      </c>
      <c r="P17" s="302">
        <v>0.65486111111111112</v>
      </c>
      <c r="Q17" s="302">
        <v>0.76736111111111116</v>
      </c>
      <c r="R17" s="301">
        <v>46419</v>
      </c>
      <c r="S17" s="302" t="s">
        <v>640</v>
      </c>
      <c r="T17" s="303" t="s">
        <v>641</v>
      </c>
      <c r="U17" s="302">
        <v>0.36805555555555558</v>
      </c>
      <c r="V17" s="302">
        <v>0.65069444444444446</v>
      </c>
      <c r="W17" s="304">
        <v>46422</v>
      </c>
      <c r="X17" s="305" t="s">
        <v>642</v>
      </c>
      <c r="Y17" s="305" t="s">
        <v>643</v>
      </c>
      <c r="Z17" s="305">
        <v>0.70277777777777772</v>
      </c>
      <c r="AA17" s="305">
        <v>0.82986111111111116</v>
      </c>
      <c r="AB17" s="322">
        <v>46423</v>
      </c>
      <c r="AC17" s="314" t="s">
        <v>469</v>
      </c>
      <c r="AD17" s="314" t="s">
        <v>470</v>
      </c>
      <c r="AE17" s="305">
        <v>0.58680555555555558</v>
      </c>
      <c r="AF17" s="305">
        <v>0.61041666666666672</v>
      </c>
      <c r="AG17" s="304"/>
      <c r="AH17" s="305"/>
      <c r="AI17" s="305"/>
      <c r="AJ17" s="305"/>
      <c r="AK17" s="305"/>
      <c r="AL17" s="309" t="s">
        <v>636</v>
      </c>
      <c r="AM17" s="315"/>
      <c r="AN17" s="316"/>
      <c r="AO17" s="309">
        <f>SUM(13200)*B17</f>
        <v>13200</v>
      </c>
      <c r="AP17" s="309">
        <f>528*B17</f>
        <v>528</v>
      </c>
      <c r="AQ17" s="309">
        <f>SUM(4051+2240)*B17</f>
        <v>6291</v>
      </c>
      <c r="AR17" s="309">
        <f>AO17+AP17+AQ17</f>
        <v>20019</v>
      </c>
      <c r="AS17" s="309">
        <f>230*B17</f>
        <v>230</v>
      </c>
      <c r="AT17" s="309">
        <f>AS17*16%</f>
        <v>36.800000000000004</v>
      </c>
      <c r="AU17" s="311">
        <f>AR17+AS17+AT17</f>
        <v>20285.8</v>
      </c>
    </row>
    <row r="18" spans="2:47" s="281" customFormat="1" ht="12.75" customHeight="1">
      <c r="B18" s="292">
        <v>3</v>
      </c>
      <c r="C18" s="293"/>
      <c r="D18" s="294"/>
      <c r="E18" s="294"/>
      <c r="F18" s="312" t="s">
        <v>471</v>
      </c>
      <c r="G18" s="296" t="s">
        <v>677</v>
      </c>
      <c r="H18" s="301"/>
      <c r="I18" s="301"/>
      <c r="J18" s="301"/>
      <c r="K18" s="301"/>
      <c r="L18" s="301"/>
      <c r="M18" s="301">
        <v>46419</v>
      </c>
      <c r="N18" s="303" t="s">
        <v>472</v>
      </c>
      <c r="O18" s="303" t="s">
        <v>678</v>
      </c>
      <c r="P18" s="302">
        <v>0.13541666666666666</v>
      </c>
      <c r="Q18" s="302">
        <v>0.19791666666666666</v>
      </c>
      <c r="R18" s="301">
        <v>46419</v>
      </c>
      <c r="S18" s="302" t="s">
        <v>640</v>
      </c>
      <c r="T18" s="303" t="s">
        <v>641</v>
      </c>
      <c r="U18" s="302">
        <v>0.36805555555555558</v>
      </c>
      <c r="V18" s="302">
        <v>0.65069444444444446</v>
      </c>
      <c r="W18" s="304">
        <v>46422</v>
      </c>
      <c r="X18" s="305" t="s">
        <v>642</v>
      </c>
      <c r="Y18" s="305" t="s">
        <v>643</v>
      </c>
      <c r="Z18" s="305">
        <v>0.70277777777777772</v>
      </c>
      <c r="AA18" s="305">
        <v>0.82986111111111116</v>
      </c>
      <c r="AB18" s="322">
        <v>46423</v>
      </c>
      <c r="AC18" s="314" t="s">
        <v>472</v>
      </c>
      <c r="AD18" s="314" t="s">
        <v>679</v>
      </c>
      <c r="AE18" s="305">
        <v>0.33333333333333331</v>
      </c>
      <c r="AF18" s="305">
        <v>0.39583333333333331</v>
      </c>
      <c r="AG18" s="305"/>
      <c r="AH18" s="305"/>
      <c r="AI18" s="305"/>
      <c r="AJ18" s="305"/>
      <c r="AK18" s="305"/>
      <c r="AL18" s="319" t="s">
        <v>680</v>
      </c>
      <c r="AM18" s="315"/>
      <c r="AN18" s="316"/>
      <c r="AO18" s="309">
        <f>10000*B18</f>
        <v>30000</v>
      </c>
      <c r="AP18" s="309">
        <f>400*B18</f>
        <v>1200</v>
      </c>
      <c r="AQ18" s="309">
        <f>SUM(3875+2240+920)*B18</f>
        <v>21105</v>
      </c>
      <c r="AR18" s="309">
        <f>AO18+AP18+AQ18</f>
        <v>52305</v>
      </c>
      <c r="AS18" s="309">
        <f>230*B18</f>
        <v>690</v>
      </c>
      <c r="AT18" s="309">
        <f>AS18*16%</f>
        <v>110.4</v>
      </c>
      <c r="AU18" s="311">
        <f>AR18+AS18+AT18</f>
        <v>53105.4</v>
      </c>
    </row>
    <row r="19" spans="2:47" s="281" customFormat="1" ht="12.75" customHeight="1">
      <c r="B19" s="292">
        <v>7</v>
      </c>
      <c r="C19" s="293"/>
      <c r="D19" s="294"/>
      <c r="E19" s="294"/>
      <c r="F19" s="312" t="s">
        <v>476</v>
      </c>
      <c r="G19" s="296"/>
      <c r="H19" s="301"/>
      <c r="I19" s="301"/>
      <c r="J19" s="301"/>
      <c r="K19" s="301"/>
      <c r="L19" s="301"/>
      <c r="M19" s="298">
        <v>46418</v>
      </c>
      <c r="N19" s="303" t="s">
        <v>681</v>
      </c>
      <c r="O19" s="303" t="s">
        <v>477</v>
      </c>
      <c r="P19" s="302">
        <v>0.59513888888888888</v>
      </c>
      <c r="Q19" s="302">
        <v>0.71875</v>
      </c>
      <c r="R19" s="301">
        <v>46419</v>
      </c>
      <c r="S19" s="302" t="s">
        <v>640</v>
      </c>
      <c r="T19" s="303" t="s">
        <v>641</v>
      </c>
      <c r="U19" s="302">
        <v>0.36805555555555558</v>
      </c>
      <c r="V19" s="302">
        <v>0.65069444444444446</v>
      </c>
      <c r="W19" s="304">
        <v>46422</v>
      </c>
      <c r="X19" s="305" t="s">
        <v>642</v>
      </c>
      <c r="Y19" s="305" t="s">
        <v>643</v>
      </c>
      <c r="Z19" s="305">
        <v>0.70277777777777772</v>
      </c>
      <c r="AA19" s="305">
        <v>0.82986111111111116</v>
      </c>
      <c r="AB19" s="322">
        <v>46423</v>
      </c>
      <c r="AC19" s="314" t="s">
        <v>682</v>
      </c>
      <c r="AD19" s="314" t="s">
        <v>481</v>
      </c>
      <c r="AE19" s="305">
        <v>0.25694444444444442</v>
      </c>
      <c r="AF19" s="305">
        <v>0.30694444444444446</v>
      </c>
      <c r="AG19" s="305"/>
      <c r="AH19" s="305"/>
      <c r="AI19" s="305"/>
      <c r="AJ19" s="305"/>
      <c r="AK19" s="305"/>
      <c r="AL19" s="309"/>
      <c r="AM19" s="315"/>
      <c r="AN19" s="316"/>
      <c r="AO19" s="320">
        <f>SUM(21999)*B19</f>
        <v>153993</v>
      </c>
      <c r="AP19" s="309">
        <f>880*B19</f>
        <v>6160</v>
      </c>
      <c r="AQ19" s="309">
        <f>SUM(3835+2240)*B19</f>
        <v>42525</v>
      </c>
      <c r="AR19" s="309">
        <f>AO19+AP19+AQ19</f>
        <v>202678</v>
      </c>
      <c r="AS19" s="309">
        <f>230*B19</f>
        <v>1610</v>
      </c>
      <c r="AT19" s="309">
        <f>AS19*16%</f>
        <v>257.60000000000002</v>
      </c>
      <c r="AU19" s="311">
        <f>AR19+AS19+AT19</f>
        <v>204545.6</v>
      </c>
    </row>
    <row r="20" spans="2:47" s="281" customFormat="1" ht="12.75" customHeight="1">
      <c r="B20" s="292">
        <v>1</v>
      </c>
      <c r="C20" s="293"/>
      <c r="D20" s="294"/>
      <c r="E20" s="294"/>
      <c r="F20" s="312" t="s">
        <v>483</v>
      </c>
      <c r="G20" s="296" t="s">
        <v>683</v>
      </c>
      <c r="H20" s="301"/>
      <c r="I20" s="301"/>
      <c r="J20" s="301"/>
      <c r="K20" s="301"/>
      <c r="L20" s="301"/>
      <c r="M20" s="298">
        <v>46418</v>
      </c>
      <c r="N20" s="303" t="s">
        <v>485</v>
      </c>
      <c r="O20" s="303" t="s">
        <v>486</v>
      </c>
      <c r="P20" s="302">
        <v>0.81805555555555554</v>
      </c>
      <c r="Q20" s="302">
        <v>0.95486111111111116</v>
      </c>
      <c r="R20" s="301">
        <v>46419</v>
      </c>
      <c r="S20" s="302" t="s">
        <v>640</v>
      </c>
      <c r="T20" s="303" t="s">
        <v>641</v>
      </c>
      <c r="U20" s="302">
        <v>0.36805555555555558</v>
      </c>
      <c r="V20" s="302">
        <v>0.65069444444444446</v>
      </c>
      <c r="W20" s="304">
        <v>46422</v>
      </c>
      <c r="X20" s="305" t="s">
        <v>642</v>
      </c>
      <c r="Y20" s="305" t="s">
        <v>643</v>
      </c>
      <c r="Z20" s="305">
        <v>0.70277777777777772</v>
      </c>
      <c r="AA20" s="305">
        <v>0.82986111111111116</v>
      </c>
      <c r="AB20" s="322">
        <v>46423</v>
      </c>
      <c r="AC20" s="314" t="s">
        <v>684</v>
      </c>
      <c r="AD20" s="314" t="s">
        <v>488</v>
      </c>
      <c r="AE20" s="305">
        <v>0.34375</v>
      </c>
      <c r="AF20" s="305">
        <v>0.40972222222222221</v>
      </c>
      <c r="AG20" s="305"/>
      <c r="AH20" s="305"/>
      <c r="AI20" s="305"/>
      <c r="AJ20" s="305"/>
      <c r="AK20" s="305"/>
      <c r="AL20" s="309" t="s">
        <v>636</v>
      </c>
      <c r="AM20" s="315"/>
      <c r="AN20" s="316"/>
      <c r="AO20" s="309">
        <f>12989*B20</f>
        <v>12989</v>
      </c>
      <c r="AP20" s="309">
        <f>520*B20</f>
        <v>520</v>
      </c>
      <c r="AQ20" s="309">
        <f>SUM(3340+2240)*B20</f>
        <v>5580</v>
      </c>
      <c r="AR20" s="309">
        <f>AO20+AP20+AQ20</f>
        <v>19089</v>
      </c>
      <c r="AS20" s="309">
        <f>230*B20</f>
        <v>230</v>
      </c>
      <c r="AT20" s="309">
        <f>AS20*16%</f>
        <v>36.800000000000004</v>
      </c>
      <c r="AU20" s="311">
        <f>AR20+AS20+AT20</f>
        <v>19355.8</v>
      </c>
    </row>
    <row r="21" spans="2:47" s="281" customFormat="1" ht="12.75" customHeight="1">
      <c r="B21" s="292">
        <v>1</v>
      </c>
      <c r="C21" s="293"/>
      <c r="D21" s="294"/>
      <c r="E21" s="294"/>
      <c r="F21" s="312" t="s">
        <v>489</v>
      </c>
      <c r="G21" s="296" t="s">
        <v>685</v>
      </c>
      <c r="H21" s="301"/>
      <c r="I21" s="301"/>
      <c r="J21" s="301"/>
      <c r="K21" s="301"/>
      <c r="L21" s="301"/>
      <c r="M21" s="298">
        <v>46418</v>
      </c>
      <c r="N21" s="303" t="s">
        <v>491</v>
      </c>
      <c r="O21" s="303" t="s">
        <v>492</v>
      </c>
      <c r="P21" s="302">
        <v>0.7319444444444444</v>
      </c>
      <c r="Q21" s="302">
        <v>0.84375</v>
      </c>
      <c r="R21" s="301">
        <v>46419</v>
      </c>
      <c r="S21" s="302" t="s">
        <v>640</v>
      </c>
      <c r="T21" s="303" t="s">
        <v>641</v>
      </c>
      <c r="U21" s="302">
        <v>0.36805555555555558</v>
      </c>
      <c r="V21" s="302">
        <v>0.65069444444444446</v>
      </c>
      <c r="W21" s="304">
        <v>46422</v>
      </c>
      <c r="X21" s="305" t="s">
        <v>642</v>
      </c>
      <c r="Y21" s="305" t="s">
        <v>643</v>
      </c>
      <c r="Z21" s="305">
        <v>0.70277777777777772</v>
      </c>
      <c r="AA21" s="305">
        <v>0.82986111111111116</v>
      </c>
      <c r="AB21" s="322">
        <v>46423</v>
      </c>
      <c r="AC21" s="314" t="s">
        <v>686</v>
      </c>
      <c r="AD21" s="314" t="s">
        <v>495</v>
      </c>
      <c r="AE21" s="305">
        <v>0.2986111111111111</v>
      </c>
      <c r="AF21" s="305">
        <v>0.33888888888888891</v>
      </c>
      <c r="AG21" s="305"/>
      <c r="AH21" s="305"/>
      <c r="AI21" s="305"/>
      <c r="AJ21" s="305"/>
      <c r="AK21" s="305"/>
      <c r="AL21" s="309" t="s">
        <v>636</v>
      </c>
      <c r="AM21" s="315"/>
      <c r="AN21" s="316"/>
      <c r="AO21" s="309">
        <f>13400*B21</f>
        <v>13400</v>
      </c>
      <c r="AP21" s="309">
        <f>536*B21</f>
        <v>536</v>
      </c>
      <c r="AQ21" s="309">
        <f>SUM(4292+2240)*B21</f>
        <v>6532</v>
      </c>
      <c r="AR21" s="309">
        <f>AO21+AP21+AQ21</f>
        <v>20468</v>
      </c>
      <c r="AS21" s="309">
        <f>230*B21</f>
        <v>230</v>
      </c>
      <c r="AT21" s="309">
        <f>AS21*16%</f>
        <v>36.800000000000004</v>
      </c>
      <c r="AU21" s="311">
        <f>AR21+AS21+AT21</f>
        <v>20734.8</v>
      </c>
    </row>
    <row r="22" spans="2:47" s="281" customFormat="1" ht="12.75" customHeight="1">
      <c r="B22" s="292">
        <v>1</v>
      </c>
      <c r="C22" s="293"/>
      <c r="D22" s="294"/>
      <c r="E22" s="294"/>
      <c r="F22" s="312" t="s">
        <v>496</v>
      </c>
      <c r="G22" s="296" t="s">
        <v>687</v>
      </c>
      <c r="H22" s="298">
        <v>46418</v>
      </c>
      <c r="I22" s="303" t="s">
        <v>497</v>
      </c>
      <c r="J22" s="303" t="s">
        <v>688</v>
      </c>
      <c r="K22" s="300">
        <v>0.41666666666666669</v>
      </c>
      <c r="L22" s="300">
        <v>0.58333333333333337</v>
      </c>
      <c r="M22" s="298">
        <v>46418</v>
      </c>
      <c r="N22" s="303" t="s">
        <v>689</v>
      </c>
      <c r="O22" s="303" t="s">
        <v>500</v>
      </c>
      <c r="P22" s="302">
        <v>0.73263888888888884</v>
      </c>
      <c r="Q22" s="302">
        <v>0.80555555555555558</v>
      </c>
      <c r="R22" s="301">
        <v>46419</v>
      </c>
      <c r="S22" s="302" t="s">
        <v>640</v>
      </c>
      <c r="T22" s="303" t="s">
        <v>641</v>
      </c>
      <c r="U22" s="302">
        <v>0.36805555555555558</v>
      </c>
      <c r="V22" s="302">
        <v>0.65069444444444446</v>
      </c>
      <c r="W22" s="304">
        <v>46422</v>
      </c>
      <c r="X22" s="305" t="s">
        <v>642</v>
      </c>
      <c r="Y22" s="305" t="s">
        <v>643</v>
      </c>
      <c r="Z22" s="305">
        <v>0.70277777777777772</v>
      </c>
      <c r="AA22" s="305">
        <v>0.82986111111111116</v>
      </c>
      <c r="AB22" s="322">
        <v>46423</v>
      </c>
      <c r="AC22" s="314" t="s">
        <v>690</v>
      </c>
      <c r="AD22" s="314" t="s">
        <v>502</v>
      </c>
      <c r="AE22" s="305">
        <v>0.31944444444444442</v>
      </c>
      <c r="AF22" s="305">
        <v>0.39583333333333331</v>
      </c>
      <c r="AG22" s="322">
        <v>46423</v>
      </c>
      <c r="AH22" s="309" t="s">
        <v>497</v>
      </c>
      <c r="AI22" s="315" t="s">
        <v>691</v>
      </c>
      <c r="AJ22" s="415">
        <v>0.52083333333333337</v>
      </c>
      <c r="AK22" s="415">
        <v>0.73750000000000004</v>
      </c>
      <c r="AL22" s="309" t="s">
        <v>692</v>
      </c>
      <c r="AM22" s="309"/>
      <c r="AN22" s="309"/>
      <c r="AO22" s="320">
        <f>SUM(13400)*B22</f>
        <v>13400</v>
      </c>
      <c r="AP22" s="309">
        <f>536*B22</f>
        <v>536</v>
      </c>
      <c r="AQ22" s="309">
        <f>SUM(4134+2240+678)*B22</f>
        <v>7052</v>
      </c>
      <c r="AR22" s="309">
        <f>AO22+AP22+AQ22</f>
        <v>20988</v>
      </c>
      <c r="AS22" s="309">
        <f>230*B22</f>
        <v>230</v>
      </c>
      <c r="AT22" s="309">
        <f>AS22*16%</f>
        <v>36.800000000000004</v>
      </c>
      <c r="AU22" s="311">
        <f>AR22+AS22+AT22</f>
        <v>21254.799999999999</v>
      </c>
    </row>
    <row r="23" spans="2:47" s="281" customFormat="1" ht="12.75" customHeight="1">
      <c r="B23" s="292">
        <f>35+6</f>
        <v>41</v>
      </c>
      <c r="C23" s="293"/>
      <c r="D23" s="294"/>
      <c r="E23" s="294"/>
      <c r="F23" s="312" t="s">
        <v>505</v>
      </c>
      <c r="G23" s="296" t="s">
        <v>693</v>
      </c>
      <c r="H23" s="301"/>
      <c r="I23" s="301"/>
      <c r="J23" s="301"/>
      <c r="K23" s="301"/>
      <c r="L23" s="301"/>
      <c r="M23" s="301"/>
      <c r="N23" s="303"/>
      <c r="O23" s="303"/>
      <c r="P23" s="302"/>
      <c r="Q23" s="302"/>
      <c r="R23" s="301">
        <v>46419</v>
      </c>
      <c r="S23" s="302" t="s">
        <v>665</v>
      </c>
      <c r="T23" s="303" t="s">
        <v>666</v>
      </c>
      <c r="U23" s="302">
        <v>0.69861111111111107</v>
      </c>
      <c r="V23" s="302">
        <v>0.92638888888888893</v>
      </c>
      <c r="W23" s="304">
        <v>46422</v>
      </c>
      <c r="X23" s="305" t="s">
        <v>667</v>
      </c>
      <c r="Y23" s="305" t="s">
        <v>668</v>
      </c>
      <c r="Z23" s="305">
        <v>0.25</v>
      </c>
      <c r="AA23" s="305">
        <v>0.37916666666666665</v>
      </c>
      <c r="AB23" s="304"/>
      <c r="AC23" s="314"/>
      <c r="AD23" s="314"/>
      <c r="AE23" s="305"/>
      <c r="AF23" s="305"/>
      <c r="AG23" s="305"/>
      <c r="AH23" s="305"/>
      <c r="AI23" s="305"/>
      <c r="AJ23" s="305"/>
      <c r="AK23" s="305"/>
      <c r="AL23" s="319" t="s">
        <v>669</v>
      </c>
      <c r="AM23" s="315"/>
      <c r="AN23" s="316"/>
      <c r="AO23" s="320">
        <f>8925*B23</f>
        <v>365925</v>
      </c>
      <c r="AP23" s="309">
        <f>357*B23</f>
        <v>14637</v>
      </c>
      <c r="AQ23" s="309">
        <f>3995*B23</f>
        <v>163795</v>
      </c>
      <c r="AR23" s="309">
        <f>AO23+AP23+AQ23</f>
        <v>544357</v>
      </c>
      <c r="AS23" s="309">
        <f>230*B23</f>
        <v>9430</v>
      </c>
      <c r="AT23" s="309">
        <f>AS23*16%</f>
        <v>1508.8</v>
      </c>
      <c r="AU23" s="311">
        <f>AR23+AS23+AT23</f>
        <v>555295.80000000005</v>
      </c>
    </row>
    <row r="24" spans="2:47" s="281" customFormat="1" ht="12.75" customHeight="1">
      <c r="B24" s="292">
        <v>4</v>
      </c>
      <c r="C24" s="293"/>
      <c r="D24" s="294"/>
      <c r="E24" s="294"/>
      <c r="F24" s="312" t="s">
        <v>510</v>
      </c>
      <c r="G24" s="296"/>
      <c r="H24" s="301"/>
      <c r="I24" s="301"/>
      <c r="J24" s="301"/>
      <c r="K24" s="301"/>
      <c r="L24" s="301"/>
      <c r="M24" s="301"/>
      <c r="N24" s="303"/>
      <c r="O24" s="303"/>
      <c r="P24" s="302"/>
      <c r="Q24" s="302"/>
      <c r="R24" s="301">
        <v>46419</v>
      </c>
      <c r="S24" s="302" t="s">
        <v>665</v>
      </c>
      <c r="T24" s="303" t="s">
        <v>666</v>
      </c>
      <c r="U24" s="302">
        <v>0.69861111111111107</v>
      </c>
      <c r="V24" s="302">
        <v>0.92638888888888893</v>
      </c>
      <c r="W24" s="304">
        <v>46422</v>
      </c>
      <c r="X24" s="305" t="s">
        <v>667</v>
      </c>
      <c r="Y24" s="305" t="s">
        <v>668</v>
      </c>
      <c r="Z24" s="305">
        <v>0.25</v>
      </c>
      <c r="AA24" s="305">
        <v>0.37916666666666665</v>
      </c>
      <c r="AB24" s="304"/>
      <c r="AC24" s="314"/>
      <c r="AD24" s="314"/>
      <c r="AE24" s="305"/>
      <c r="AF24" s="305"/>
      <c r="AG24" s="305"/>
      <c r="AH24" s="305"/>
      <c r="AI24" s="305"/>
      <c r="AJ24" s="305"/>
      <c r="AK24" s="305"/>
      <c r="AL24" s="319" t="s">
        <v>669</v>
      </c>
      <c r="AM24" s="315"/>
      <c r="AN24" s="316"/>
      <c r="AO24" s="320">
        <f>8925*B24</f>
        <v>35700</v>
      </c>
      <c r="AP24" s="309">
        <f>357*B24</f>
        <v>1428</v>
      </c>
      <c r="AQ24" s="309">
        <f>3995*B24</f>
        <v>15980</v>
      </c>
      <c r="AR24" s="309">
        <f>AO24+AP24+AQ24</f>
        <v>53108</v>
      </c>
      <c r="AS24" s="309">
        <f>230*B24</f>
        <v>920</v>
      </c>
      <c r="AT24" s="309">
        <f>AS24*16%</f>
        <v>147.20000000000002</v>
      </c>
      <c r="AU24" s="311">
        <f>AR24+AS24+AT24</f>
        <v>54175.199999999997</v>
      </c>
    </row>
    <row r="25" spans="2:47" s="281" customFormat="1" ht="12.75" customHeight="1">
      <c r="B25" s="292">
        <v>10</v>
      </c>
      <c r="C25" s="293"/>
      <c r="D25" s="294"/>
      <c r="E25" s="294"/>
      <c r="F25" s="312" t="s">
        <v>512</v>
      </c>
      <c r="G25" s="296" t="s">
        <v>694</v>
      </c>
      <c r="H25" s="301"/>
      <c r="I25" s="301"/>
      <c r="J25" s="301"/>
      <c r="K25" s="301"/>
      <c r="L25" s="301"/>
      <c r="M25" s="298">
        <v>46418</v>
      </c>
      <c r="N25" s="303" t="s">
        <v>695</v>
      </c>
      <c r="O25" s="303" t="s">
        <v>696</v>
      </c>
      <c r="P25" s="302">
        <v>0.62430555555555556</v>
      </c>
      <c r="Q25" s="302">
        <v>0.7055555555555556</v>
      </c>
      <c r="R25" s="301">
        <v>46419</v>
      </c>
      <c r="S25" s="302" t="s">
        <v>665</v>
      </c>
      <c r="T25" s="303" t="s">
        <v>666</v>
      </c>
      <c r="U25" s="302">
        <v>0.69861111111111107</v>
      </c>
      <c r="V25" s="302">
        <v>0.92638888888888893</v>
      </c>
      <c r="W25" s="304">
        <v>46422</v>
      </c>
      <c r="X25" s="305" t="s">
        <v>667</v>
      </c>
      <c r="Y25" s="305" t="s">
        <v>668</v>
      </c>
      <c r="Z25" s="305">
        <v>0.25</v>
      </c>
      <c r="AA25" s="305">
        <v>0.37916666666666665</v>
      </c>
      <c r="AB25" s="304">
        <v>46422</v>
      </c>
      <c r="AC25" s="314" t="s">
        <v>697</v>
      </c>
      <c r="AD25" s="314" t="s">
        <v>698</v>
      </c>
      <c r="AE25" s="305">
        <v>0.52361111111111114</v>
      </c>
      <c r="AF25" s="305">
        <v>0.6</v>
      </c>
      <c r="AG25" s="305"/>
      <c r="AH25" s="305"/>
      <c r="AI25" s="305"/>
      <c r="AJ25" s="305"/>
      <c r="AK25" s="305"/>
      <c r="AL25" s="319" t="s">
        <v>699</v>
      </c>
      <c r="AM25" s="315"/>
      <c r="AN25" s="316"/>
      <c r="AO25" s="320">
        <f>SUM(3100+8925)*B25</f>
        <v>120250</v>
      </c>
      <c r="AP25" s="309">
        <f>SUM(496+357)*B25</f>
        <v>8530</v>
      </c>
      <c r="AQ25" s="309">
        <f>SUM(1495+3995+1900)*B25</f>
        <v>73900</v>
      </c>
      <c r="AR25" s="309">
        <f>AO25+AP25+AQ25</f>
        <v>202680</v>
      </c>
      <c r="AS25" s="309">
        <f>230*B25</f>
        <v>2300</v>
      </c>
      <c r="AT25" s="309">
        <f>AS25*16%</f>
        <v>368</v>
      </c>
      <c r="AU25" s="311">
        <f>AR25+AS25+AT25</f>
        <v>205348</v>
      </c>
    </row>
    <row r="26" spans="2:47" s="281" customFormat="1" ht="12.75" customHeight="1">
      <c r="B26" s="292">
        <v>1</v>
      </c>
      <c r="C26" s="293"/>
      <c r="D26" s="294"/>
      <c r="E26" s="294"/>
      <c r="F26" s="312" t="s">
        <v>518</v>
      </c>
      <c r="G26" s="296" t="s">
        <v>700</v>
      </c>
      <c r="H26" s="298">
        <v>46418</v>
      </c>
      <c r="I26" s="303" t="s">
        <v>497</v>
      </c>
      <c r="J26" s="303" t="s">
        <v>701</v>
      </c>
      <c r="K26" s="302">
        <v>0.39583333333333331</v>
      </c>
      <c r="L26" s="300">
        <v>0.58333333333333337</v>
      </c>
      <c r="M26" s="298">
        <v>46418</v>
      </c>
      <c r="N26" s="303" t="s">
        <v>689</v>
      </c>
      <c r="O26" s="303" t="s">
        <v>500</v>
      </c>
      <c r="P26" s="302">
        <v>0.73263888888888884</v>
      </c>
      <c r="Q26" s="302">
        <v>0.80555555555555558</v>
      </c>
      <c r="R26" s="301">
        <v>46419</v>
      </c>
      <c r="S26" s="302" t="s">
        <v>640</v>
      </c>
      <c r="T26" s="303" t="s">
        <v>641</v>
      </c>
      <c r="U26" s="302">
        <v>0.36805555555555558</v>
      </c>
      <c r="V26" s="302">
        <v>0.65069444444444446</v>
      </c>
      <c r="W26" s="304">
        <v>46422</v>
      </c>
      <c r="X26" s="305" t="s">
        <v>642</v>
      </c>
      <c r="Y26" s="305" t="s">
        <v>643</v>
      </c>
      <c r="Z26" s="305">
        <v>0.70277777777777772</v>
      </c>
      <c r="AA26" s="305">
        <v>0.82986111111111116</v>
      </c>
      <c r="AB26" s="322">
        <v>46423</v>
      </c>
      <c r="AC26" s="314" t="s">
        <v>690</v>
      </c>
      <c r="AD26" s="314" t="s">
        <v>502</v>
      </c>
      <c r="AE26" s="305">
        <v>0.31944444444444442</v>
      </c>
      <c r="AF26" s="305">
        <v>0.39583333333333331</v>
      </c>
      <c r="AG26" s="322">
        <v>46423</v>
      </c>
      <c r="AH26" s="309" t="s">
        <v>497</v>
      </c>
      <c r="AI26" s="315" t="s">
        <v>691</v>
      </c>
      <c r="AJ26" s="415">
        <v>0.52083333333333337</v>
      </c>
      <c r="AK26" s="415">
        <v>0.73750000000000004</v>
      </c>
      <c r="AL26" s="309" t="s">
        <v>692</v>
      </c>
      <c r="AM26" s="309"/>
      <c r="AN26" s="309"/>
      <c r="AO26" s="320">
        <f>SUM(13400)*B26</f>
        <v>13400</v>
      </c>
      <c r="AP26" s="309">
        <f>536*B26</f>
        <v>536</v>
      </c>
      <c r="AQ26" s="309">
        <f>SUM(4134+2240+678)*B26</f>
        <v>7052</v>
      </c>
      <c r="AR26" s="309">
        <f>AO26+AP26+AQ26</f>
        <v>20988</v>
      </c>
      <c r="AS26" s="309">
        <f>230*B26</f>
        <v>230</v>
      </c>
      <c r="AT26" s="309">
        <f>AS26*16%</f>
        <v>36.800000000000004</v>
      </c>
      <c r="AU26" s="311">
        <f>AR26+AS26+AT26</f>
        <v>21254.799999999999</v>
      </c>
    </row>
    <row r="27" spans="2:47" s="281" customFormat="1" ht="12.75" customHeight="1">
      <c r="B27" s="292">
        <v>29</v>
      </c>
      <c r="C27" s="293"/>
      <c r="D27" s="294"/>
      <c r="E27" s="294"/>
      <c r="F27" s="312" t="s">
        <v>521</v>
      </c>
      <c r="G27" s="296"/>
      <c r="H27" s="301"/>
      <c r="I27" s="301"/>
      <c r="J27" s="301"/>
      <c r="K27" s="301"/>
      <c r="L27" s="301"/>
      <c r="M27" s="301">
        <v>46419</v>
      </c>
      <c r="N27" s="303" t="s">
        <v>702</v>
      </c>
      <c r="O27" s="303" t="s">
        <v>703</v>
      </c>
      <c r="P27" s="302">
        <v>9.0277777777777769E-3</v>
      </c>
      <c r="Q27" s="302">
        <v>0.22500000000000001</v>
      </c>
      <c r="R27" s="301">
        <v>46419</v>
      </c>
      <c r="S27" s="302" t="s">
        <v>704</v>
      </c>
      <c r="T27" s="303" t="s">
        <v>658</v>
      </c>
      <c r="U27" s="302">
        <v>0.29583333333333334</v>
      </c>
      <c r="V27" s="302">
        <v>0.44374999999999998</v>
      </c>
      <c r="W27" s="304">
        <v>46422</v>
      </c>
      <c r="X27" s="305" t="s">
        <v>705</v>
      </c>
      <c r="Y27" s="305" t="s">
        <v>660</v>
      </c>
      <c r="Z27" s="305">
        <v>0.74652777777777779</v>
      </c>
      <c r="AA27" s="305">
        <v>0.81944444444444442</v>
      </c>
      <c r="AB27" s="322">
        <v>46423</v>
      </c>
      <c r="AC27" s="314" t="s">
        <v>706</v>
      </c>
      <c r="AD27" s="314" t="s">
        <v>707</v>
      </c>
      <c r="AE27" s="305">
        <v>0.32013888888888886</v>
      </c>
      <c r="AF27" s="305">
        <v>0.45624999999999999</v>
      </c>
      <c r="AG27" s="305"/>
      <c r="AH27" s="305"/>
      <c r="AI27" s="305"/>
      <c r="AJ27" s="305"/>
      <c r="AK27" s="305"/>
      <c r="AL27" s="319" t="s">
        <v>708</v>
      </c>
      <c r="AM27" s="315"/>
      <c r="AN27" s="316"/>
      <c r="AO27" s="320">
        <f>16699*B27</f>
        <v>484271</v>
      </c>
      <c r="AP27" s="309">
        <f>668*B27</f>
        <v>19372</v>
      </c>
      <c r="AQ27" s="309">
        <f>SUM(5099)*B27</f>
        <v>147871</v>
      </c>
      <c r="AR27" s="309">
        <f>AO27+AP27+AQ27</f>
        <v>651514</v>
      </c>
      <c r="AS27" s="309">
        <f>230*B27</f>
        <v>6670</v>
      </c>
      <c r="AT27" s="309">
        <f>AS27*16%</f>
        <v>1067.2</v>
      </c>
      <c r="AU27" s="311">
        <f>AR27+AS27+AT27</f>
        <v>659251.19999999995</v>
      </c>
    </row>
    <row r="28" spans="2:47" s="281" customFormat="1" ht="12.75" customHeight="1">
      <c r="B28" s="292">
        <v>6</v>
      </c>
      <c r="C28" s="293"/>
      <c r="D28" s="294"/>
      <c r="E28" s="294"/>
      <c r="F28" s="312" t="s">
        <v>526</v>
      </c>
      <c r="G28" s="296"/>
      <c r="H28" s="301"/>
      <c r="I28" s="301"/>
      <c r="J28" s="301"/>
      <c r="K28" s="301"/>
      <c r="L28" s="301"/>
      <c r="M28" s="298">
        <v>46418</v>
      </c>
      <c r="N28" s="303" t="s">
        <v>709</v>
      </c>
      <c r="O28" s="303" t="s">
        <v>528</v>
      </c>
      <c r="P28" s="302">
        <v>0.72777777777777775</v>
      </c>
      <c r="Q28" s="302">
        <v>0.88194444444444442</v>
      </c>
      <c r="R28" s="301">
        <v>46419</v>
      </c>
      <c r="S28" s="302" t="s">
        <v>640</v>
      </c>
      <c r="T28" s="303" t="s">
        <v>641</v>
      </c>
      <c r="U28" s="302">
        <v>0.36805555555555558</v>
      </c>
      <c r="V28" s="302">
        <v>0.65069444444444446</v>
      </c>
      <c r="W28" s="304">
        <v>46422</v>
      </c>
      <c r="X28" s="305" t="s">
        <v>642</v>
      </c>
      <c r="Y28" s="305" t="s">
        <v>643</v>
      </c>
      <c r="Z28" s="305">
        <v>0.70277777777777772</v>
      </c>
      <c r="AA28" s="305">
        <v>0.82986111111111116</v>
      </c>
      <c r="AB28" s="322">
        <v>46423</v>
      </c>
      <c r="AC28" s="314" t="s">
        <v>710</v>
      </c>
      <c r="AD28" s="314" t="s">
        <v>531</v>
      </c>
      <c r="AE28" s="305">
        <v>0.4548611111111111</v>
      </c>
      <c r="AF28" s="305">
        <v>0.54861111111111116</v>
      </c>
      <c r="AG28" s="305"/>
      <c r="AH28" s="305"/>
      <c r="AI28" s="305"/>
      <c r="AJ28" s="305"/>
      <c r="AK28" s="305"/>
      <c r="AL28" s="309" t="s">
        <v>636</v>
      </c>
      <c r="AM28" s="315"/>
      <c r="AN28" s="316"/>
      <c r="AO28" s="309">
        <f>14696*B28</f>
        <v>88176</v>
      </c>
      <c r="AP28" s="309">
        <f>588*B28</f>
        <v>3528</v>
      </c>
      <c r="AQ28" s="309">
        <f>SUM(3387+2240)*B28</f>
        <v>33762</v>
      </c>
      <c r="AR28" s="309">
        <f>AO28+AP28+AQ28</f>
        <v>125466</v>
      </c>
      <c r="AS28" s="309">
        <f>230*B28</f>
        <v>1380</v>
      </c>
      <c r="AT28" s="309">
        <f>AS28*16%</f>
        <v>220.8</v>
      </c>
      <c r="AU28" s="311">
        <f>AR28+AS28+AT28</f>
        <v>127066.8</v>
      </c>
    </row>
    <row r="29" spans="2:47" s="281" customFormat="1" ht="12.75" customHeight="1">
      <c r="B29" s="292">
        <v>2</v>
      </c>
      <c r="C29" s="293"/>
      <c r="D29" s="294"/>
      <c r="E29" s="294"/>
      <c r="F29" s="312" t="s">
        <v>532</v>
      </c>
      <c r="G29" s="296"/>
      <c r="H29" s="301"/>
      <c r="I29" s="301"/>
      <c r="J29" s="301"/>
      <c r="K29" s="301"/>
      <c r="L29" s="301"/>
      <c r="M29" s="298">
        <v>46418</v>
      </c>
      <c r="N29" s="303" t="s">
        <v>648</v>
      </c>
      <c r="O29" s="303" t="s">
        <v>649</v>
      </c>
      <c r="P29" s="302">
        <v>0.74236111111111114</v>
      </c>
      <c r="Q29" s="302">
        <v>0.79166666666666663</v>
      </c>
      <c r="R29" s="301">
        <v>46419</v>
      </c>
      <c r="S29" s="302" t="s">
        <v>640</v>
      </c>
      <c r="T29" s="303" t="s">
        <v>641</v>
      </c>
      <c r="U29" s="302">
        <v>0.36805555555555558</v>
      </c>
      <c r="V29" s="302">
        <v>0.65069444444444446</v>
      </c>
      <c r="W29" s="304">
        <v>46422</v>
      </c>
      <c r="X29" s="305" t="s">
        <v>642</v>
      </c>
      <c r="Y29" s="305" t="s">
        <v>643</v>
      </c>
      <c r="Z29" s="305">
        <v>0.70277777777777772</v>
      </c>
      <c r="AA29" s="305">
        <v>0.82986111111111116</v>
      </c>
      <c r="AB29" s="322">
        <v>46423</v>
      </c>
      <c r="AC29" s="314" t="s">
        <v>650</v>
      </c>
      <c r="AD29" s="314" t="s">
        <v>651</v>
      </c>
      <c r="AE29" s="305">
        <v>0.3298611111111111</v>
      </c>
      <c r="AF29" s="305">
        <v>0.37847222222222221</v>
      </c>
      <c r="AG29" s="305"/>
      <c r="AH29" s="305"/>
      <c r="AI29" s="305"/>
      <c r="AJ29" s="305"/>
      <c r="AK29" s="305"/>
      <c r="AL29" s="309" t="s">
        <v>636</v>
      </c>
      <c r="AM29" s="315"/>
      <c r="AN29" s="316"/>
      <c r="AO29" s="309">
        <f>13000*B29</f>
        <v>26000</v>
      </c>
      <c r="AP29" s="309">
        <f>520*B29</f>
        <v>1040</v>
      </c>
      <c r="AQ29" s="309">
        <f>SUM(3911+2240)*B29</f>
        <v>12302</v>
      </c>
      <c r="AR29" s="309">
        <f>AO29+AP29+AQ29</f>
        <v>39342</v>
      </c>
      <c r="AS29" s="309">
        <f>230*B29</f>
        <v>460</v>
      </c>
      <c r="AT29" s="309">
        <f>AS29*16%</f>
        <v>73.600000000000009</v>
      </c>
      <c r="AU29" s="311">
        <f>AR29+AS29+AT29</f>
        <v>39875.599999999999</v>
      </c>
    </row>
    <row r="30" spans="2:47" s="281" customFormat="1" ht="12.75" customHeight="1">
      <c r="B30" s="292">
        <v>8</v>
      </c>
      <c r="C30" s="293"/>
      <c r="D30" s="294"/>
      <c r="E30" s="294"/>
      <c r="F30" s="312" t="s">
        <v>533</v>
      </c>
      <c r="G30" s="296"/>
      <c r="H30" s="301"/>
      <c r="I30" s="301"/>
      <c r="J30" s="301"/>
      <c r="K30" s="301"/>
      <c r="L30" s="301"/>
      <c r="M30" s="298">
        <v>46418</v>
      </c>
      <c r="N30" s="303" t="s">
        <v>648</v>
      </c>
      <c r="O30" s="303" t="s">
        <v>649</v>
      </c>
      <c r="P30" s="302">
        <v>0.74236111111111114</v>
      </c>
      <c r="Q30" s="302">
        <v>0.79166666666666663</v>
      </c>
      <c r="R30" s="301">
        <v>46419</v>
      </c>
      <c r="S30" s="302" t="s">
        <v>640</v>
      </c>
      <c r="T30" s="303" t="s">
        <v>641</v>
      </c>
      <c r="U30" s="302">
        <v>0.36805555555555558</v>
      </c>
      <c r="V30" s="302">
        <v>0.65069444444444446</v>
      </c>
      <c r="W30" s="304">
        <v>46422</v>
      </c>
      <c r="X30" s="305" t="s">
        <v>642</v>
      </c>
      <c r="Y30" s="305" t="s">
        <v>643</v>
      </c>
      <c r="Z30" s="305">
        <v>0.70277777777777772</v>
      </c>
      <c r="AA30" s="305">
        <v>0.82986111111111116</v>
      </c>
      <c r="AB30" s="322">
        <v>46423</v>
      </c>
      <c r="AC30" s="314" t="s">
        <v>650</v>
      </c>
      <c r="AD30" s="314" t="s">
        <v>651</v>
      </c>
      <c r="AE30" s="305">
        <v>0.3298611111111111</v>
      </c>
      <c r="AF30" s="305">
        <v>0.37847222222222221</v>
      </c>
      <c r="AG30" s="305"/>
      <c r="AH30" s="305"/>
      <c r="AI30" s="305"/>
      <c r="AJ30" s="305"/>
      <c r="AK30" s="305"/>
      <c r="AL30" s="309" t="s">
        <v>636</v>
      </c>
      <c r="AM30" s="315"/>
      <c r="AN30" s="316"/>
      <c r="AO30" s="309">
        <f>13000*B30</f>
        <v>104000</v>
      </c>
      <c r="AP30" s="309">
        <f>520*B30</f>
        <v>4160</v>
      </c>
      <c r="AQ30" s="309">
        <f>SUM(3911+2240)*B30</f>
        <v>49208</v>
      </c>
      <c r="AR30" s="309">
        <f>AO30+AP30+AQ30</f>
        <v>157368</v>
      </c>
      <c r="AS30" s="309">
        <f>230*B30</f>
        <v>1840</v>
      </c>
      <c r="AT30" s="309">
        <f>AS30*16%</f>
        <v>294.40000000000003</v>
      </c>
      <c r="AU30" s="311">
        <f>AR30+AS30+AT30</f>
        <v>159502.39999999999</v>
      </c>
    </row>
    <row r="31" spans="2:47" s="281" customFormat="1" ht="12.75" customHeight="1">
      <c r="B31" s="292">
        <v>5</v>
      </c>
      <c r="C31" s="293"/>
      <c r="D31" s="294"/>
      <c r="E31" s="294"/>
      <c r="F31" s="312" t="s">
        <v>534</v>
      </c>
      <c r="G31" s="296"/>
      <c r="H31" s="301"/>
      <c r="I31" s="301"/>
      <c r="J31" s="301"/>
      <c r="K31" s="301"/>
      <c r="L31" s="301"/>
      <c r="M31" s="298">
        <v>46418</v>
      </c>
      <c r="N31" s="303" t="s">
        <v>536</v>
      </c>
      <c r="O31" s="323" t="s">
        <v>537</v>
      </c>
      <c r="P31" s="302">
        <v>0.49652777777777779</v>
      </c>
      <c r="Q31" s="302">
        <v>0.71875</v>
      </c>
      <c r="R31" s="301">
        <v>46419</v>
      </c>
      <c r="S31" s="302" t="s">
        <v>640</v>
      </c>
      <c r="T31" s="303" t="s">
        <v>641</v>
      </c>
      <c r="U31" s="302">
        <v>0.36805555555555558</v>
      </c>
      <c r="V31" s="302">
        <v>0.65069444444444446</v>
      </c>
      <c r="W31" s="304">
        <v>46422</v>
      </c>
      <c r="X31" s="305" t="s">
        <v>642</v>
      </c>
      <c r="Y31" s="305" t="s">
        <v>643</v>
      </c>
      <c r="Z31" s="305">
        <v>0.70277777777777772</v>
      </c>
      <c r="AA31" s="305">
        <v>0.82986111111111116</v>
      </c>
      <c r="AB31" s="322">
        <v>46423</v>
      </c>
      <c r="AC31" s="314" t="s">
        <v>635</v>
      </c>
      <c r="AD31" s="314" t="s">
        <v>540</v>
      </c>
      <c r="AE31" s="305">
        <v>0.35069444444444442</v>
      </c>
      <c r="AF31" s="305">
        <v>0.41805555555555557</v>
      </c>
      <c r="AG31" s="305"/>
      <c r="AH31" s="305"/>
      <c r="AI31" s="305"/>
      <c r="AJ31" s="305"/>
      <c r="AK31" s="305"/>
      <c r="AL31" s="319" t="s">
        <v>636</v>
      </c>
      <c r="AM31" s="315"/>
      <c r="AN31" s="316"/>
      <c r="AO31" s="309">
        <f>15163*B31</f>
        <v>75815</v>
      </c>
      <c r="AP31" s="309">
        <f>607*B31</f>
        <v>3035</v>
      </c>
      <c r="AQ31" s="309">
        <f>SUM(3390+2240)*B31</f>
        <v>28150</v>
      </c>
      <c r="AR31" s="309">
        <f>AO31+AP31+AQ31</f>
        <v>107000</v>
      </c>
      <c r="AS31" s="309">
        <f>230*B31</f>
        <v>1150</v>
      </c>
      <c r="AT31" s="309">
        <f>AS31*16%</f>
        <v>184</v>
      </c>
      <c r="AU31" s="311">
        <f>AR31+AS31+AT31</f>
        <v>108334</v>
      </c>
    </row>
    <row r="32" spans="2:47" s="281" customFormat="1" ht="12.75" customHeight="1">
      <c r="B32" s="292">
        <v>27</v>
      </c>
      <c r="C32" s="293"/>
      <c r="D32" s="294"/>
      <c r="E32" s="294"/>
      <c r="F32" s="312" t="s">
        <v>541</v>
      </c>
      <c r="G32" s="296"/>
      <c r="H32" s="301"/>
      <c r="I32" s="301"/>
      <c r="J32" s="301"/>
      <c r="K32" s="301"/>
      <c r="L32" s="301"/>
      <c r="M32" s="301">
        <v>46419</v>
      </c>
      <c r="N32" s="303" t="s">
        <v>711</v>
      </c>
      <c r="O32" s="323" t="s">
        <v>712</v>
      </c>
      <c r="P32" s="302">
        <v>4.1666666666666664E-2</v>
      </c>
      <c r="Q32" s="302">
        <v>0.25833333333333336</v>
      </c>
      <c r="R32" s="301">
        <v>46419</v>
      </c>
      <c r="S32" s="302" t="s">
        <v>704</v>
      </c>
      <c r="T32" s="303" t="s">
        <v>658</v>
      </c>
      <c r="U32" s="302">
        <v>0.29583333333333334</v>
      </c>
      <c r="V32" s="302">
        <v>0.44097222222222221</v>
      </c>
      <c r="W32" s="304">
        <v>46422</v>
      </c>
      <c r="X32" s="305" t="s">
        <v>713</v>
      </c>
      <c r="Y32" s="305" t="s">
        <v>660</v>
      </c>
      <c r="Z32" s="305">
        <v>0.7729166666666667</v>
      </c>
      <c r="AA32" s="305">
        <v>0.84722222222222221</v>
      </c>
      <c r="AB32" s="322">
        <v>46423</v>
      </c>
      <c r="AC32" s="314" t="s">
        <v>714</v>
      </c>
      <c r="AD32" s="314" t="s">
        <v>715</v>
      </c>
      <c r="AE32" s="305">
        <v>0.32222222222222224</v>
      </c>
      <c r="AF32" s="305">
        <v>0.46527777777777779</v>
      </c>
      <c r="AG32" s="305"/>
      <c r="AH32" s="305"/>
      <c r="AI32" s="305"/>
      <c r="AJ32" s="305"/>
      <c r="AK32" s="305"/>
      <c r="AL32" s="319" t="s">
        <v>708</v>
      </c>
      <c r="AM32" s="315"/>
      <c r="AN32" s="316"/>
      <c r="AO32" s="309">
        <f>15829*B32</f>
        <v>427383</v>
      </c>
      <c r="AP32" s="309">
        <f>634*B32</f>
        <v>17118</v>
      </c>
      <c r="AQ32" s="309">
        <f>5049*B32</f>
        <v>136323</v>
      </c>
      <c r="AR32" s="309">
        <f>AO32+AP32+AQ32</f>
        <v>580824</v>
      </c>
      <c r="AS32" s="309">
        <f>230*B32</f>
        <v>6210</v>
      </c>
      <c r="AT32" s="309">
        <f>AS32*16%</f>
        <v>993.6</v>
      </c>
      <c r="AU32" s="311">
        <f>AR32+AS32+AT32</f>
        <v>588027.6</v>
      </c>
    </row>
    <row r="33" spans="2:47" s="281" customFormat="1" ht="12.75" customHeight="1">
      <c r="B33" s="292">
        <v>12</v>
      </c>
      <c r="C33" s="293"/>
      <c r="D33" s="294"/>
      <c r="E33" s="294"/>
      <c r="F33" s="312" t="s">
        <v>546</v>
      </c>
      <c r="G33" s="296"/>
      <c r="H33" s="301"/>
      <c r="I33" s="301"/>
      <c r="J33" s="301"/>
      <c r="K33" s="301"/>
      <c r="L33" s="301"/>
      <c r="M33" s="298">
        <v>46418</v>
      </c>
      <c r="N33" s="303" t="s">
        <v>716</v>
      </c>
      <c r="O33" s="323" t="s">
        <v>717</v>
      </c>
      <c r="P33" s="302">
        <v>0.62152777777777779</v>
      </c>
      <c r="Q33" s="302">
        <v>0.67361111111111116</v>
      </c>
      <c r="R33" s="301">
        <v>46419</v>
      </c>
      <c r="S33" s="302" t="s">
        <v>640</v>
      </c>
      <c r="T33" s="303" t="s">
        <v>641</v>
      </c>
      <c r="U33" s="302">
        <v>0.36805555555555558</v>
      </c>
      <c r="V33" s="302">
        <v>0.65069444444444446</v>
      </c>
      <c r="W33" s="304">
        <v>46422</v>
      </c>
      <c r="X33" s="305" t="s">
        <v>642</v>
      </c>
      <c r="Y33" s="305" t="s">
        <v>643</v>
      </c>
      <c r="Z33" s="305">
        <v>0.70277777777777772</v>
      </c>
      <c r="AA33" s="305">
        <v>0.82986111111111116</v>
      </c>
      <c r="AB33" s="322">
        <v>46423</v>
      </c>
      <c r="AC33" s="314" t="s">
        <v>718</v>
      </c>
      <c r="AD33" s="314" t="s">
        <v>719</v>
      </c>
      <c r="AE33" s="305">
        <v>0.54166666666666663</v>
      </c>
      <c r="AF33" s="305">
        <v>0.59097222222222223</v>
      </c>
      <c r="AG33" s="305"/>
      <c r="AH33" s="305"/>
      <c r="AI33" s="305"/>
      <c r="AJ33" s="305"/>
      <c r="AK33" s="305"/>
      <c r="AL33" s="319" t="s">
        <v>636</v>
      </c>
      <c r="AM33" s="315"/>
      <c r="AN33" s="316"/>
      <c r="AO33" s="309">
        <f>12889*B33</f>
        <v>154668</v>
      </c>
      <c r="AP33" s="309">
        <f>516*B33</f>
        <v>6192</v>
      </c>
      <c r="AQ33" s="309">
        <f>SUM(3940+2240)*B33</f>
        <v>74160</v>
      </c>
      <c r="AR33" s="309">
        <f>AO33+AP33+AQ33</f>
        <v>235020</v>
      </c>
      <c r="AS33" s="309">
        <f>230*B33</f>
        <v>2760</v>
      </c>
      <c r="AT33" s="309">
        <f>AS33*16%</f>
        <v>441.6</v>
      </c>
      <c r="AU33" s="311">
        <f>AR33+AS33+AT33</f>
        <v>238221.6</v>
      </c>
    </row>
    <row r="34" spans="2:47" s="281" customFormat="1" ht="12.75" customHeight="1">
      <c r="B34" s="292">
        <v>2</v>
      </c>
      <c r="C34" s="293"/>
      <c r="D34" s="294"/>
      <c r="E34" s="294"/>
      <c r="F34" s="312" t="s">
        <v>551</v>
      </c>
      <c r="G34" s="296" t="s">
        <v>720</v>
      </c>
      <c r="H34" s="301"/>
      <c r="I34" s="301"/>
      <c r="J34" s="301"/>
      <c r="K34" s="301"/>
      <c r="L34" s="301"/>
      <c r="M34" s="298">
        <v>46418</v>
      </c>
      <c r="N34" s="303" t="s">
        <v>553</v>
      </c>
      <c r="O34" s="323" t="s">
        <v>554</v>
      </c>
      <c r="P34" s="302">
        <v>0.64236111111111116</v>
      </c>
      <c r="Q34" s="302">
        <v>0.72222222222222221</v>
      </c>
      <c r="R34" s="301">
        <v>46419</v>
      </c>
      <c r="S34" s="302" t="s">
        <v>640</v>
      </c>
      <c r="T34" s="303" t="s">
        <v>641</v>
      </c>
      <c r="U34" s="302">
        <v>0.36805555555555558</v>
      </c>
      <c r="V34" s="302">
        <v>0.65069444444444446</v>
      </c>
      <c r="W34" s="304">
        <v>46422</v>
      </c>
      <c r="X34" s="305" t="s">
        <v>642</v>
      </c>
      <c r="Y34" s="305" t="s">
        <v>643</v>
      </c>
      <c r="Z34" s="305">
        <v>0.70277777777777772</v>
      </c>
      <c r="AA34" s="305">
        <v>0.82986111111111116</v>
      </c>
      <c r="AB34" s="322">
        <v>46423</v>
      </c>
      <c r="AC34" s="314" t="s">
        <v>555</v>
      </c>
      <c r="AD34" s="314" t="s">
        <v>556</v>
      </c>
      <c r="AE34" s="305">
        <v>0.5</v>
      </c>
      <c r="AF34" s="305">
        <v>0.57916666666666672</v>
      </c>
      <c r="AG34" s="305"/>
      <c r="AH34" s="305"/>
      <c r="AI34" s="305"/>
      <c r="AJ34" s="305"/>
      <c r="AK34" s="305"/>
      <c r="AL34" s="319" t="s">
        <v>636</v>
      </c>
      <c r="AM34" s="315"/>
      <c r="AN34" s="316"/>
      <c r="AO34" s="309">
        <f>13500*B34</f>
        <v>27000</v>
      </c>
      <c r="AP34" s="309">
        <f>540*B34</f>
        <v>1080</v>
      </c>
      <c r="AQ34" s="309">
        <f>SUM(3399+2240)*B34</f>
        <v>11278</v>
      </c>
      <c r="AR34" s="309">
        <f>AO34+AP34+AQ34</f>
        <v>39358</v>
      </c>
      <c r="AS34" s="309">
        <f>230*B34</f>
        <v>460</v>
      </c>
      <c r="AT34" s="309">
        <f>AS34*16%</f>
        <v>73.600000000000009</v>
      </c>
      <c r="AU34" s="311">
        <f>AR34+AS34+AT34</f>
        <v>39891.599999999999</v>
      </c>
    </row>
    <row r="35" spans="2:47" s="281" customFormat="1" ht="12.75" customHeight="1">
      <c r="B35" s="292">
        <v>4</v>
      </c>
      <c r="C35" s="293"/>
      <c r="D35" s="294"/>
      <c r="E35" s="294"/>
      <c r="F35" s="312" t="s">
        <v>557</v>
      </c>
      <c r="G35" s="296"/>
      <c r="H35" s="301"/>
      <c r="I35" s="301"/>
      <c r="J35" s="301"/>
      <c r="K35" s="301"/>
      <c r="L35" s="301"/>
      <c r="M35" s="298">
        <v>46418</v>
      </c>
      <c r="N35" s="303" t="s">
        <v>721</v>
      </c>
      <c r="O35" s="323" t="s">
        <v>722</v>
      </c>
      <c r="P35" s="302">
        <v>0.74027777777777781</v>
      </c>
      <c r="Q35" s="302">
        <v>0.79513888888888884</v>
      </c>
      <c r="R35" s="301">
        <v>46419</v>
      </c>
      <c r="S35" s="302" t="s">
        <v>640</v>
      </c>
      <c r="T35" s="303" t="s">
        <v>641</v>
      </c>
      <c r="U35" s="302">
        <v>0.36805555555555558</v>
      </c>
      <c r="V35" s="302">
        <v>0.65069444444444446</v>
      </c>
      <c r="W35" s="304">
        <v>46422</v>
      </c>
      <c r="X35" s="305" t="s">
        <v>642</v>
      </c>
      <c r="Y35" s="305" t="s">
        <v>643</v>
      </c>
      <c r="Z35" s="305">
        <v>0.70277777777777772</v>
      </c>
      <c r="AA35" s="305">
        <v>0.82986111111111116</v>
      </c>
      <c r="AB35" s="322">
        <v>46423</v>
      </c>
      <c r="AC35" s="314" t="s">
        <v>723</v>
      </c>
      <c r="AD35" s="314" t="s">
        <v>724</v>
      </c>
      <c r="AE35" s="305">
        <v>0.33333333333333331</v>
      </c>
      <c r="AF35" s="305">
        <v>0.38680555555555557</v>
      </c>
      <c r="AG35" s="305"/>
      <c r="AH35" s="305"/>
      <c r="AI35" s="305"/>
      <c r="AJ35" s="305"/>
      <c r="AK35" s="305"/>
      <c r="AL35" s="319" t="s">
        <v>636</v>
      </c>
      <c r="AM35" s="315"/>
      <c r="AN35" s="316"/>
      <c r="AO35" s="309">
        <f>13968*B35</f>
        <v>55872</v>
      </c>
      <c r="AP35" s="309">
        <f>559*B35</f>
        <v>2236</v>
      </c>
      <c r="AQ35" s="309">
        <f>SUM(3671+2240)*B35</f>
        <v>23644</v>
      </c>
      <c r="AR35" s="309">
        <f>AO35+AP35+AQ35</f>
        <v>81752</v>
      </c>
      <c r="AS35" s="309">
        <f>230*B35</f>
        <v>920</v>
      </c>
      <c r="AT35" s="309">
        <f>AS35*16%</f>
        <v>147.20000000000002</v>
      </c>
      <c r="AU35" s="311">
        <f>AR35+AS35+AT35</f>
        <v>82819.199999999997</v>
      </c>
    </row>
    <row r="36" spans="2:47" s="281" customFormat="1" ht="12.75" customHeight="1">
      <c r="B36" s="292">
        <v>18</v>
      </c>
      <c r="C36" s="293"/>
      <c r="D36" s="294"/>
      <c r="E36" s="294"/>
      <c r="F36" s="312" t="s">
        <v>562</v>
      </c>
      <c r="G36" s="296" t="s">
        <v>725</v>
      </c>
      <c r="H36" s="301"/>
      <c r="I36" s="301"/>
      <c r="J36" s="301"/>
      <c r="K36" s="301"/>
      <c r="L36" s="301"/>
      <c r="M36" s="298">
        <v>46418</v>
      </c>
      <c r="N36" s="303" t="s">
        <v>514</v>
      </c>
      <c r="O36" s="323" t="s">
        <v>726</v>
      </c>
      <c r="P36" s="302">
        <v>0.65277777777777779</v>
      </c>
      <c r="Q36" s="302">
        <v>0.80555555555555558</v>
      </c>
      <c r="R36" s="301">
        <v>46419</v>
      </c>
      <c r="S36" s="302" t="s">
        <v>640</v>
      </c>
      <c r="T36" s="303" t="s">
        <v>641</v>
      </c>
      <c r="U36" s="302">
        <v>0.36805555555555558</v>
      </c>
      <c r="V36" s="302">
        <v>0.65069444444444446</v>
      </c>
      <c r="W36" s="304">
        <v>46422</v>
      </c>
      <c r="X36" s="305" t="s">
        <v>642</v>
      </c>
      <c r="Y36" s="305" t="s">
        <v>643</v>
      </c>
      <c r="Z36" s="305">
        <v>0.70277777777777772</v>
      </c>
      <c r="AA36" s="305">
        <v>0.82986111111111116</v>
      </c>
      <c r="AB36" s="322">
        <v>46423</v>
      </c>
      <c r="AC36" s="314" t="s">
        <v>514</v>
      </c>
      <c r="AD36" s="314" t="s">
        <v>727</v>
      </c>
      <c r="AE36" s="305">
        <v>0.33680555555555558</v>
      </c>
      <c r="AF36" s="305">
        <v>0.47222222222222221</v>
      </c>
      <c r="AG36" s="305"/>
      <c r="AH36" s="305"/>
      <c r="AI36" s="305"/>
      <c r="AJ36" s="305"/>
      <c r="AK36" s="305"/>
      <c r="AL36" s="319" t="s">
        <v>728</v>
      </c>
      <c r="AM36" s="315"/>
      <c r="AN36" s="316"/>
      <c r="AO36" s="309">
        <f>10097*B36</f>
        <v>181746</v>
      </c>
      <c r="AP36" s="309">
        <f>404*B36</f>
        <v>7272</v>
      </c>
      <c r="AQ36" s="309">
        <f>SUM(890+3899+2240)*B36</f>
        <v>126522</v>
      </c>
      <c r="AR36" s="309">
        <f>AO36+AP36+AQ36</f>
        <v>315540</v>
      </c>
      <c r="AS36" s="309">
        <f>230*B36</f>
        <v>4140</v>
      </c>
      <c r="AT36" s="309">
        <f>AS36*16%</f>
        <v>662.4</v>
      </c>
      <c r="AU36" s="311">
        <f>AR36+AS36+AT36</f>
        <v>320342.40000000002</v>
      </c>
    </row>
    <row r="37" spans="2:47" s="281" customFormat="1" ht="12.75" customHeight="1">
      <c r="B37" s="292">
        <v>10</v>
      </c>
      <c r="C37" s="293"/>
      <c r="D37" s="294"/>
      <c r="E37" s="294"/>
      <c r="F37" s="312" t="s">
        <v>567</v>
      </c>
      <c r="G37" s="296"/>
      <c r="H37" s="301"/>
      <c r="I37" s="301"/>
      <c r="J37" s="301"/>
      <c r="K37" s="301"/>
      <c r="L37" s="301"/>
      <c r="M37" s="298">
        <v>46418</v>
      </c>
      <c r="N37" s="303" t="s">
        <v>729</v>
      </c>
      <c r="O37" s="323" t="s">
        <v>730</v>
      </c>
      <c r="P37" s="302">
        <v>0.71527777777777779</v>
      </c>
      <c r="Q37" s="302">
        <v>0.76388888888888884</v>
      </c>
      <c r="R37" s="301">
        <v>46419</v>
      </c>
      <c r="S37" s="302" t="s">
        <v>640</v>
      </c>
      <c r="T37" s="303" t="s">
        <v>641</v>
      </c>
      <c r="U37" s="302">
        <v>0.36805555555555558</v>
      </c>
      <c r="V37" s="302">
        <v>0.65069444444444446</v>
      </c>
      <c r="W37" s="304">
        <v>46422</v>
      </c>
      <c r="X37" s="305" t="s">
        <v>642</v>
      </c>
      <c r="Y37" s="305" t="s">
        <v>643</v>
      </c>
      <c r="Z37" s="305">
        <v>0.70277777777777772</v>
      </c>
      <c r="AA37" s="305">
        <v>0.82986111111111116</v>
      </c>
      <c r="AB37" s="322">
        <v>46423</v>
      </c>
      <c r="AC37" s="314" t="s">
        <v>731</v>
      </c>
      <c r="AD37" s="314" t="s">
        <v>732</v>
      </c>
      <c r="AE37" s="305">
        <v>0.43402777777777779</v>
      </c>
      <c r="AF37" s="305">
        <v>0.4826388888888889</v>
      </c>
      <c r="AG37" s="305"/>
      <c r="AH37" s="305"/>
      <c r="AI37" s="305"/>
      <c r="AJ37" s="305"/>
      <c r="AK37" s="305"/>
      <c r="AL37" s="319" t="s">
        <v>636</v>
      </c>
      <c r="AM37" s="315"/>
      <c r="AN37" s="316"/>
      <c r="AO37" s="309">
        <f>13600*B37</f>
        <v>136000</v>
      </c>
      <c r="AP37" s="309">
        <f>544*B37</f>
        <v>5440</v>
      </c>
      <c r="AQ37" s="309">
        <f>SUM(3540+2240)*B37</f>
        <v>57800</v>
      </c>
      <c r="AR37" s="309">
        <f>AO37+AP37+AQ37</f>
        <v>199240</v>
      </c>
      <c r="AS37" s="309">
        <f>230*B37</f>
        <v>2300</v>
      </c>
      <c r="AT37" s="309">
        <f>AS37*16%</f>
        <v>368</v>
      </c>
      <c r="AU37" s="311">
        <f>AR37+AS37+AT37</f>
        <v>201908</v>
      </c>
    </row>
    <row r="38" spans="2:47" s="281" customFormat="1" ht="12.75" customHeight="1">
      <c r="B38" s="292">
        <v>2</v>
      </c>
      <c r="C38" s="293"/>
      <c r="D38" s="294"/>
      <c r="E38" s="294"/>
      <c r="F38" s="312" t="s">
        <v>572</v>
      </c>
      <c r="G38" s="296"/>
      <c r="H38" s="301"/>
      <c r="I38" s="301"/>
      <c r="J38" s="301"/>
      <c r="K38" s="301"/>
      <c r="L38" s="301"/>
      <c r="M38" s="298">
        <v>46418</v>
      </c>
      <c r="N38" s="303" t="s">
        <v>574</v>
      </c>
      <c r="O38" s="323" t="s">
        <v>575</v>
      </c>
      <c r="P38" s="302">
        <v>0.68819444444444444</v>
      </c>
      <c r="Q38" s="302">
        <v>0.76736111111111116</v>
      </c>
      <c r="R38" s="301">
        <v>46419</v>
      </c>
      <c r="S38" s="302" t="s">
        <v>640</v>
      </c>
      <c r="T38" s="303" t="s">
        <v>641</v>
      </c>
      <c r="U38" s="302">
        <v>0.36805555555555558</v>
      </c>
      <c r="V38" s="302">
        <v>0.65069444444444446</v>
      </c>
      <c r="W38" s="304">
        <v>46422</v>
      </c>
      <c r="X38" s="305" t="s">
        <v>642</v>
      </c>
      <c r="Y38" s="305" t="s">
        <v>643</v>
      </c>
      <c r="Z38" s="305">
        <v>0.70277777777777772</v>
      </c>
      <c r="AA38" s="305">
        <v>0.82986111111111116</v>
      </c>
      <c r="AB38" s="322">
        <v>46423</v>
      </c>
      <c r="AC38" s="314" t="s">
        <v>576</v>
      </c>
      <c r="AD38" s="314" t="s">
        <v>577</v>
      </c>
      <c r="AE38" s="305">
        <v>0.54861111111111116</v>
      </c>
      <c r="AF38" s="305">
        <v>0.62152777777777779</v>
      </c>
      <c r="AG38" s="305"/>
      <c r="AH38" s="305"/>
      <c r="AI38" s="305"/>
      <c r="AJ38" s="305"/>
      <c r="AK38" s="305"/>
      <c r="AL38" s="319" t="s">
        <v>636</v>
      </c>
      <c r="AM38" s="315"/>
      <c r="AN38" s="316"/>
      <c r="AO38" s="309">
        <f>13598*B38</f>
        <v>27196</v>
      </c>
      <c r="AP38" s="309">
        <f>544*B38</f>
        <v>1088</v>
      </c>
      <c r="AQ38" s="309">
        <f>SUM(3720+2240)*B38</f>
        <v>11920</v>
      </c>
      <c r="AR38" s="309">
        <f>AO38+AP38+AQ38</f>
        <v>40204</v>
      </c>
      <c r="AS38" s="309">
        <f>230*B38</f>
        <v>460</v>
      </c>
      <c r="AT38" s="309">
        <f>AS38*16%</f>
        <v>73.600000000000009</v>
      </c>
      <c r="AU38" s="311">
        <f>AR38+AS38+AT38</f>
        <v>40737.599999999999</v>
      </c>
    </row>
    <row r="39" spans="2:47" s="281" customFormat="1" ht="12.75" customHeight="1">
      <c r="B39" s="292">
        <v>1</v>
      </c>
      <c r="C39" s="293"/>
      <c r="D39" s="294"/>
      <c r="E39" s="294"/>
      <c r="F39" s="312" t="s">
        <v>578</v>
      </c>
      <c r="G39" s="296" t="s">
        <v>733</v>
      </c>
      <c r="H39" s="301">
        <v>46419</v>
      </c>
      <c r="I39" s="302" t="s">
        <v>734</v>
      </c>
      <c r="J39" s="301" t="s">
        <v>735</v>
      </c>
      <c r="K39" s="300">
        <v>0.70833333333333337</v>
      </c>
      <c r="L39" s="300">
        <v>0.80555555555555558</v>
      </c>
      <c r="M39" s="301">
        <v>46419</v>
      </c>
      <c r="N39" s="303" t="s">
        <v>711</v>
      </c>
      <c r="O39" s="323" t="s">
        <v>712</v>
      </c>
      <c r="P39" s="302">
        <v>4.1666666666666664E-2</v>
      </c>
      <c r="Q39" s="302">
        <v>0.25833333333333336</v>
      </c>
      <c r="R39" s="301">
        <v>46419</v>
      </c>
      <c r="S39" s="302" t="s">
        <v>704</v>
      </c>
      <c r="T39" s="303" t="s">
        <v>658</v>
      </c>
      <c r="U39" s="302">
        <v>0.29583333333333334</v>
      </c>
      <c r="V39" s="302">
        <v>0.44097222222222221</v>
      </c>
      <c r="W39" s="304">
        <v>46422</v>
      </c>
      <c r="X39" s="305" t="s">
        <v>713</v>
      </c>
      <c r="Y39" s="305" t="s">
        <v>660</v>
      </c>
      <c r="Z39" s="305">
        <v>0.7729166666666667</v>
      </c>
      <c r="AA39" s="305">
        <v>0.84722222222222221</v>
      </c>
      <c r="AB39" s="322">
        <v>46423</v>
      </c>
      <c r="AC39" s="314" t="s">
        <v>714</v>
      </c>
      <c r="AD39" s="314" t="s">
        <v>715</v>
      </c>
      <c r="AE39" s="305">
        <v>0.32222222222222224</v>
      </c>
      <c r="AF39" s="305">
        <v>0.46527777777777779</v>
      </c>
      <c r="AG39" s="322">
        <v>46423</v>
      </c>
      <c r="AH39" s="305" t="s">
        <v>734</v>
      </c>
      <c r="AI39" s="305" t="s">
        <v>736</v>
      </c>
      <c r="AJ39" s="305">
        <v>0.60416666666666663</v>
      </c>
      <c r="AK39" s="305">
        <v>0.72222222222222221</v>
      </c>
      <c r="AL39" s="319" t="s">
        <v>737</v>
      </c>
      <c r="AM39" s="315"/>
      <c r="AN39" s="316"/>
      <c r="AO39" s="309">
        <f>15907*B39</f>
        <v>15907</v>
      </c>
      <c r="AP39" s="309">
        <f>637*B39</f>
        <v>637</v>
      </c>
      <c r="AQ39" s="309">
        <f>SUM(1220+4428+2240)*B39</f>
        <v>7888</v>
      </c>
      <c r="AR39" s="309">
        <f>AO39+AP39+AQ39</f>
        <v>24432</v>
      </c>
      <c r="AS39" s="309">
        <f>230*B39</f>
        <v>230</v>
      </c>
      <c r="AT39" s="309">
        <f>AS39*16%</f>
        <v>36.800000000000004</v>
      </c>
      <c r="AU39" s="311">
        <f>AR39+AS39+AT39</f>
        <v>24698.799999999999</v>
      </c>
    </row>
    <row r="40" spans="2:47" s="281" customFormat="1" ht="12.75" customHeight="1">
      <c r="B40" s="292">
        <v>5</v>
      </c>
      <c r="C40" s="293"/>
      <c r="D40" s="294"/>
      <c r="E40" s="294"/>
      <c r="F40" s="312" t="s">
        <v>583</v>
      </c>
      <c r="G40" s="296"/>
      <c r="H40" s="301"/>
      <c r="I40" s="301"/>
      <c r="J40" s="301"/>
      <c r="K40" s="301"/>
      <c r="L40" s="301"/>
      <c r="M40" s="298">
        <v>46418</v>
      </c>
      <c r="N40" s="303" t="s">
        <v>738</v>
      </c>
      <c r="O40" s="323" t="s">
        <v>739</v>
      </c>
      <c r="P40" s="302">
        <v>0.66111111111111109</v>
      </c>
      <c r="Q40" s="302">
        <v>0.71527777777777779</v>
      </c>
      <c r="R40" s="301">
        <v>46419</v>
      </c>
      <c r="S40" s="302" t="s">
        <v>640</v>
      </c>
      <c r="T40" s="303" t="s">
        <v>641</v>
      </c>
      <c r="U40" s="302">
        <v>0.36805555555555558</v>
      </c>
      <c r="V40" s="302">
        <v>0.65069444444444446</v>
      </c>
      <c r="W40" s="304">
        <v>46422</v>
      </c>
      <c r="X40" s="305" t="s">
        <v>642</v>
      </c>
      <c r="Y40" s="305" t="s">
        <v>643</v>
      </c>
      <c r="Z40" s="305">
        <v>0.70277777777777772</v>
      </c>
      <c r="AA40" s="305">
        <v>0.82986111111111116</v>
      </c>
      <c r="AB40" s="322">
        <v>46423</v>
      </c>
      <c r="AC40" s="314" t="s">
        <v>740</v>
      </c>
      <c r="AD40" s="314" t="s">
        <v>741</v>
      </c>
      <c r="AE40" s="305">
        <v>0.44791666666666669</v>
      </c>
      <c r="AF40" s="305">
        <v>0.50069444444444444</v>
      </c>
      <c r="AG40" s="305"/>
      <c r="AH40" s="305"/>
      <c r="AI40" s="305"/>
      <c r="AJ40" s="305"/>
      <c r="AK40" s="305"/>
      <c r="AL40" s="319" t="s">
        <v>636</v>
      </c>
      <c r="AM40" s="315"/>
      <c r="AN40" s="316"/>
      <c r="AO40" s="309">
        <f>13200*B40</f>
        <v>66000</v>
      </c>
      <c r="AP40" s="309">
        <f>528*B40</f>
        <v>2640</v>
      </c>
      <c r="AQ40" s="309">
        <f>SUM(3940+2240)*B40</f>
        <v>30900</v>
      </c>
      <c r="AR40" s="309">
        <f>AO40+AP40+AQ40</f>
        <v>99540</v>
      </c>
      <c r="AS40" s="309">
        <f>230*B40</f>
        <v>1150</v>
      </c>
      <c r="AT40" s="309">
        <f>AS40*16%</f>
        <v>184</v>
      </c>
      <c r="AU40" s="311">
        <f>AR40+AS40+AT40</f>
        <v>100874</v>
      </c>
    </row>
    <row r="41" spans="2:47" s="281" customFormat="1" ht="12.75" customHeight="1">
      <c r="B41" s="292">
        <v>7</v>
      </c>
      <c r="C41" s="293"/>
      <c r="D41" s="294"/>
      <c r="E41" s="294"/>
      <c r="F41" s="312" t="s">
        <v>588</v>
      </c>
      <c r="G41" s="296" t="s">
        <v>742</v>
      </c>
      <c r="H41" s="301"/>
      <c r="I41" s="301"/>
      <c r="J41" s="301"/>
      <c r="K41" s="301"/>
      <c r="L41" s="301"/>
      <c r="M41" s="298">
        <v>46418</v>
      </c>
      <c r="N41" s="303" t="s">
        <v>743</v>
      </c>
      <c r="O41" s="303" t="s">
        <v>590</v>
      </c>
      <c r="P41" s="302">
        <v>0.61736111111111114</v>
      </c>
      <c r="Q41" s="302">
        <v>0.67361111111111116</v>
      </c>
      <c r="R41" s="301">
        <v>46419</v>
      </c>
      <c r="S41" s="302" t="s">
        <v>640</v>
      </c>
      <c r="T41" s="303" t="s">
        <v>641</v>
      </c>
      <c r="U41" s="302">
        <v>0.36805555555555558</v>
      </c>
      <c r="V41" s="302">
        <v>0.65069444444444446</v>
      </c>
      <c r="W41" s="304">
        <v>46422</v>
      </c>
      <c r="X41" s="305" t="s">
        <v>642</v>
      </c>
      <c r="Y41" s="305" t="s">
        <v>643</v>
      </c>
      <c r="Z41" s="305">
        <v>0.70277777777777772</v>
      </c>
      <c r="AA41" s="305">
        <v>0.82986111111111116</v>
      </c>
      <c r="AB41" s="322">
        <v>46423</v>
      </c>
      <c r="AC41" s="314" t="s">
        <v>744</v>
      </c>
      <c r="AD41" s="314" t="s">
        <v>593</v>
      </c>
      <c r="AE41" s="305">
        <v>0.30902777777777779</v>
      </c>
      <c r="AF41" s="305">
        <v>0.3576388888888889</v>
      </c>
      <c r="AG41" s="305"/>
      <c r="AH41" s="305"/>
      <c r="AI41" s="305"/>
      <c r="AJ41" s="305"/>
      <c r="AK41" s="305"/>
      <c r="AL41" s="309" t="s">
        <v>636</v>
      </c>
      <c r="AM41" s="315"/>
      <c r="AN41" s="316"/>
      <c r="AO41" s="309">
        <f>13800*B41</f>
        <v>96600</v>
      </c>
      <c r="AP41" s="309">
        <f>552*B41</f>
        <v>3864</v>
      </c>
      <c r="AQ41" s="309">
        <f>SUM(3999+2240)*B41</f>
        <v>43673</v>
      </c>
      <c r="AR41" s="309">
        <f>AO41+AP41+AQ41</f>
        <v>144137</v>
      </c>
      <c r="AS41" s="309">
        <f>230*B41</f>
        <v>1610</v>
      </c>
      <c r="AT41" s="309">
        <f>AS41*16%</f>
        <v>257.60000000000002</v>
      </c>
      <c r="AU41" s="311">
        <f>AR41+AS41+AT41</f>
        <v>146004.6</v>
      </c>
    </row>
    <row r="42" spans="2:47" s="281" customFormat="1" ht="12.75" customHeight="1">
      <c r="B42" s="292">
        <v>10</v>
      </c>
      <c r="C42" s="293"/>
      <c r="D42" s="294"/>
      <c r="E42" s="294"/>
      <c r="F42" s="312" t="s">
        <v>594</v>
      </c>
      <c r="G42" s="296"/>
      <c r="H42" s="301"/>
      <c r="I42" s="301"/>
      <c r="J42" s="301"/>
      <c r="K42" s="301"/>
      <c r="L42" s="301"/>
      <c r="M42" s="298">
        <v>46418</v>
      </c>
      <c r="N42" s="303" t="s">
        <v>745</v>
      </c>
      <c r="O42" s="323" t="s">
        <v>746</v>
      </c>
      <c r="P42" s="302">
        <v>0.61736111111111114</v>
      </c>
      <c r="Q42" s="302">
        <v>0.84375</v>
      </c>
      <c r="R42" s="301">
        <v>46419</v>
      </c>
      <c r="S42" s="302" t="s">
        <v>640</v>
      </c>
      <c r="T42" s="303" t="s">
        <v>641</v>
      </c>
      <c r="U42" s="302">
        <v>0.36805555555555558</v>
      </c>
      <c r="V42" s="302">
        <v>0.65069444444444446</v>
      </c>
      <c r="W42" s="304">
        <v>46422</v>
      </c>
      <c r="X42" s="305" t="s">
        <v>642</v>
      </c>
      <c r="Y42" s="305" t="s">
        <v>643</v>
      </c>
      <c r="Z42" s="305">
        <v>0.70277777777777772</v>
      </c>
      <c r="AA42" s="305">
        <v>0.82986111111111116</v>
      </c>
      <c r="AB42" s="322">
        <v>46423</v>
      </c>
      <c r="AC42" s="314" t="s">
        <v>747</v>
      </c>
      <c r="AD42" s="314" t="s">
        <v>748</v>
      </c>
      <c r="AE42" s="305">
        <v>0.375</v>
      </c>
      <c r="AF42" s="305">
        <v>0.45833333333333331</v>
      </c>
      <c r="AG42" s="305"/>
      <c r="AH42" s="305"/>
      <c r="AI42" s="305"/>
      <c r="AJ42" s="305"/>
      <c r="AK42" s="305"/>
      <c r="AL42" s="319" t="s">
        <v>636</v>
      </c>
      <c r="AM42" s="315"/>
      <c r="AN42" s="316"/>
      <c r="AO42" s="309">
        <f>15163*B42</f>
        <v>151630</v>
      </c>
      <c r="AP42" s="309">
        <f>607*B42</f>
        <v>6070</v>
      </c>
      <c r="AQ42" s="309">
        <f>SUM(3450+2240)*B42</f>
        <v>56900</v>
      </c>
      <c r="AR42" s="309">
        <f>AO42+AP42+AQ42</f>
        <v>214600</v>
      </c>
      <c r="AS42" s="309">
        <f>230*B42</f>
        <v>2300</v>
      </c>
      <c r="AT42" s="309">
        <f>AS42*16%</f>
        <v>368</v>
      </c>
      <c r="AU42" s="311">
        <f>AR42+AS42+AT42</f>
        <v>217268</v>
      </c>
    </row>
    <row r="43" spans="2:47" s="281" customFormat="1" ht="12.75" customHeight="1">
      <c r="B43" s="292">
        <v>5</v>
      </c>
      <c r="C43" s="293"/>
      <c r="D43" s="294"/>
      <c r="E43" s="294"/>
      <c r="F43" s="312" t="s">
        <v>599</v>
      </c>
      <c r="G43" s="296"/>
      <c r="H43" s="301"/>
      <c r="I43" s="301"/>
      <c r="J43" s="301"/>
      <c r="K43" s="301"/>
      <c r="L43" s="301"/>
      <c r="M43" s="298">
        <v>46418</v>
      </c>
      <c r="N43" s="303" t="s">
        <v>749</v>
      </c>
      <c r="O43" s="323" t="s">
        <v>750</v>
      </c>
      <c r="P43" s="302">
        <v>0.75902777777777775</v>
      </c>
      <c r="Q43" s="302">
        <v>0.83333333333333337</v>
      </c>
      <c r="R43" s="301">
        <v>46419</v>
      </c>
      <c r="S43" s="302" t="s">
        <v>640</v>
      </c>
      <c r="T43" s="303" t="s">
        <v>641</v>
      </c>
      <c r="U43" s="302">
        <v>0.36805555555555558</v>
      </c>
      <c r="V43" s="302">
        <v>0.65069444444444446</v>
      </c>
      <c r="W43" s="304">
        <v>46422</v>
      </c>
      <c r="X43" s="305" t="s">
        <v>642</v>
      </c>
      <c r="Y43" s="305" t="s">
        <v>643</v>
      </c>
      <c r="Z43" s="305">
        <v>0.70277777777777772</v>
      </c>
      <c r="AA43" s="305">
        <v>0.82986111111111116</v>
      </c>
      <c r="AB43" s="322">
        <v>46423</v>
      </c>
      <c r="AC43" s="314" t="s">
        <v>751</v>
      </c>
      <c r="AD43" s="314" t="s">
        <v>603</v>
      </c>
      <c r="AE43" s="305">
        <v>0.4236111111111111</v>
      </c>
      <c r="AF43" s="305">
        <v>0.5</v>
      </c>
      <c r="AG43" s="305"/>
      <c r="AH43" s="305"/>
      <c r="AI43" s="305"/>
      <c r="AJ43" s="305"/>
      <c r="AK43" s="305"/>
      <c r="AL43" s="319" t="s">
        <v>636</v>
      </c>
      <c r="AM43" s="315"/>
      <c r="AN43" s="316"/>
      <c r="AO43" s="309">
        <f>13969*B43</f>
        <v>69845</v>
      </c>
      <c r="AP43" s="309">
        <f>559*B43</f>
        <v>2795</v>
      </c>
      <c r="AQ43" s="309">
        <f>SUM(4011+2240)*B43</f>
        <v>31255</v>
      </c>
      <c r="AR43" s="309">
        <f>AO43+AP43+AQ43</f>
        <v>103895</v>
      </c>
      <c r="AS43" s="309">
        <f>230*B43</f>
        <v>1150</v>
      </c>
      <c r="AT43" s="309">
        <f>AS43*16%</f>
        <v>184</v>
      </c>
      <c r="AU43" s="311">
        <f>AR43+AS43+AT43</f>
        <v>105229</v>
      </c>
    </row>
    <row r="44" spans="2:47" s="281" customFormat="1" ht="12.75" customHeight="1">
      <c r="B44" s="292">
        <v>7</v>
      </c>
      <c r="C44" s="293"/>
      <c r="D44" s="294"/>
      <c r="E44" s="294"/>
      <c r="F44" s="312" t="s">
        <v>604</v>
      </c>
      <c r="G44" s="296"/>
      <c r="H44" s="301"/>
      <c r="I44" s="301"/>
      <c r="J44" s="301"/>
      <c r="K44" s="301"/>
      <c r="L44" s="301"/>
      <c r="M44" s="298">
        <v>46418</v>
      </c>
      <c r="N44" s="303" t="s">
        <v>752</v>
      </c>
      <c r="O44" s="323" t="s">
        <v>753</v>
      </c>
      <c r="P44" s="302">
        <v>0.62777777777777777</v>
      </c>
      <c r="Q44" s="302">
        <v>0.70138888888888884</v>
      </c>
      <c r="R44" s="301">
        <v>46419</v>
      </c>
      <c r="S44" s="302" t="s">
        <v>640</v>
      </c>
      <c r="T44" s="303" t="s">
        <v>641</v>
      </c>
      <c r="U44" s="302">
        <v>0.36805555555555558</v>
      </c>
      <c r="V44" s="302">
        <v>0.65069444444444446</v>
      </c>
      <c r="W44" s="304">
        <v>46422</v>
      </c>
      <c r="X44" s="305" t="s">
        <v>642</v>
      </c>
      <c r="Y44" s="305" t="s">
        <v>643</v>
      </c>
      <c r="Z44" s="305">
        <v>0.70277777777777772</v>
      </c>
      <c r="AA44" s="305">
        <v>0.82986111111111116</v>
      </c>
      <c r="AB44" s="322">
        <v>46423</v>
      </c>
      <c r="AC44" s="314" t="s">
        <v>754</v>
      </c>
      <c r="AD44" s="314" t="s">
        <v>755</v>
      </c>
      <c r="AE44" s="305">
        <v>0.39930555555555558</v>
      </c>
      <c r="AF44" s="305">
        <v>0.47430555555555554</v>
      </c>
      <c r="AG44" s="305"/>
      <c r="AH44" s="305"/>
      <c r="AI44" s="305"/>
      <c r="AJ44" s="305"/>
      <c r="AK44" s="305"/>
      <c r="AL44" s="319" t="s">
        <v>636</v>
      </c>
      <c r="AM44" s="315"/>
      <c r="AN44" s="316"/>
      <c r="AO44" s="309">
        <f>13100*B44</f>
        <v>91700</v>
      </c>
      <c r="AP44" s="309">
        <f>524*B44</f>
        <v>3668</v>
      </c>
      <c r="AQ44" s="309">
        <f>SUM(3680+2240)*B44</f>
        <v>41440</v>
      </c>
      <c r="AR44" s="309">
        <f>AO44+AP44+AQ44</f>
        <v>136808</v>
      </c>
      <c r="AS44" s="309">
        <f>230*B44</f>
        <v>1610</v>
      </c>
      <c r="AT44" s="309">
        <f>AS44*16%</f>
        <v>257.60000000000002</v>
      </c>
      <c r="AU44" s="311">
        <f>AR44+AS44+AT44</f>
        <v>138675.6</v>
      </c>
    </row>
    <row r="45" spans="2:47" s="281" customFormat="1" ht="12.75" customHeight="1">
      <c r="B45" s="292">
        <v>10</v>
      </c>
      <c r="C45" s="293"/>
      <c r="D45" s="294"/>
      <c r="E45" s="294"/>
      <c r="F45" s="312" t="s">
        <v>609</v>
      </c>
      <c r="G45" s="296" t="s">
        <v>756</v>
      </c>
      <c r="H45" s="301"/>
      <c r="I45" s="301"/>
      <c r="J45" s="303"/>
      <c r="K45" s="301"/>
      <c r="L45" s="301"/>
      <c r="M45" s="298">
        <v>46418</v>
      </c>
      <c r="N45" s="303" t="s">
        <v>757</v>
      </c>
      <c r="O45" s="303" t="s">
        <v>758</v>
      </c>
      <c r="P45" s="302">
        <v>0.73888888888888893</v>
      </c>
      <c r="Q45" s="302">
        <v>0.79166666666666663</v>
      </c>
      <c r="R45" s="301">
        <v>46419</v>
      </c>
      <c r="S45" s="302" t="s">
        <v>640</v>
      </c>
      <c r="T45" s="303" t="s">
        <v>641</v>
      </c>
      <c r="U45" s="302">
        <v>0.36805555555555558</v>
      </c>
      <c r="V45" s="302">
        <v>0.65069444444444446</v>
      </c>
      <c r="W45" s="304">
        <v>46422</v>
      </c>
      <c r="X45" s="305" t="s">
        <v>642</v>
      </c>
      <c r="Y45" s="305" t="s">
        <v>643</v>
      </c>
      <c r="Z45" s="305">
        <v>0.70277777777777772</v>
      </c>
      <c r="AA45" s="305">
        <v>0.82986111111111116</v>
      </c>
      <c r="AB45" s="322">
        <v>46423</v>
      </c>
      <c r="AC45" s="314" t="s">
        <v>759</v>
      </c>
      <c r="AD45" s="314" t="s">
        <v>760</v>
      </c>
      <c r="AE45" s="305">
        <v>0.34375</v>
      </c>
      <c r="AF45" s="305">
        <v>0.39027777777777778</v>
      </c>
      <c r="AG45" s="305"/>
      <c r="AH45" s="305"/>
      <c r="AI45" s="305"/>
      <c r="AJ45" s="305"/>
      <c r="AK45" s="305"/>
      <c r="AL45" s="319" t="s">
        <v>636</v>
      </c>
      <c r="AM45" s="315"/>
      <c r="AN45" s="316"/>
      <c r="AO45" s="309">
        <f>13100*B45</f>
        <v>131000</v>
      </c>
      <c r="AP45" s="309">
        <f>524*B45</f>
        <v>5240</v>
      </c>
      <c r="AQ45" s="309">
        <f>SUM(3587+2240)*B45</f>
        <v>58270</v>
      </c>
      <c r="AR45" s="309">
        <f>AO45+AP45+AQ45</f>
        <v>194510</v>
      </c>
      <c r="AS45" s="309">
        <f>230*B45</f>
        <v>2300</v>
      </c>
      <c r="AT45" s="309">
        <f>AS45*16%</f>
        <v>368</v>
      </c>
      <c r="AU45" s="311">
        <f>AR45+AS45+AT45</f>
        <v>197178</v>
      </c>
    </row>
    <row r="46" spans="2:47" s="281" customFormat="1" ht="12.75" customHeight="1">
      <c r="B46" s="292">
        <v>6</v>
      </c>
      <c r="C46" s="293"/>
      <c r="D46" s="294"/>
      <c r="E46" s="294"/>
      <c r="F46" s="312" t="s">
        <v>614</v>
      </c>
      <c r="G46" s="296"/>
      <c r="H46" s="301"/>
      <c r="I46" s="301"/>
      <c r="J46" s="301"/>
      <c r="K46" s="301"/>
      <c r="L46" s="301"/>
      <c r="M46" s="298">
        <v>46418</v>
      </c>
      <c r="N46" s="303" t="s">
        <v>761</v>
      </c>
      <c r="O46" s="323" t="s">
        <v>616</v>
      </c>
      <c r="P46" s="302">
        <v>0.74097222222222225</v>
      </c>
      <c r="Q46" s="302">
        <v>0.8125</v>
      </c>
      <c r="R46" s="301">
        <v>46419</v>
      </c>
      <c r="S46" s="302" t="s">
        <v>640</v>
      </c>
      <c r="T46" s="303" t="s">
        <v>641</v>
      </c>
      <c r="U46" s="302">
        <v>0.36805555555555558</v>
      </c>
      <c r="V46" s="302">
        <v>0.65069444444444446</v>
      </c>
      <c r="W46" s="304">
        <v>46422</v>
      </c>
      <c r="X46" s="305" t="s">
        <v>642</v>
      </c>
      <c r="Y46" s="305" t="s">
        <v>643</v>
      </c>
      <c r="Z46" s="305">
        <v>0.70277777777777772</v>
      </c>
      <c r="AA46" s="305">
        <v>0.82986111111111116</v>
      </c>
      <c r="AB46" s="322">
        <v>46423</v>
      </c>
      <c r="AC46" s="314" t="s">
        <v>762</v>
      </c>
      <c r="AD46" s="314" t="s">
        <v>618</v>
      </c>
      <c r="AE46" s="305">
        <v>0.3611111111111111</v>
      </c>
      <c r="AF46" s="305">
        <v>0.42708333333333331</v>
      </c>
      <c r="AG46" s="305"/>
      <c r="AH46" s="305"/>
      <c r="AI46" s="305"/>
      <c r="AJ46" s="305"/>
      <c r="AK46" s="305"/>
      <c r="AL46" s="319" t="s">
        <v>636</v>
      </c>
      <c r="AM46" s="315"/>
      <c r="AN46" s="316"/>
      <c r="AO46" s="309">
        <f>13100*B46</f>
        <v>78600</v>
      </c>
      <c r="AP46" s="309">
        <f>524*B46</f>
        <v>3144</v>
      </c>
      <c r="AQ46" s="309">
        <f>SUM(3662+2240)*B46</f>
        <v>35412</v>
      </c>
      <c r="AR46" s="309">
        <f>AO46+AP46+AQ46</f>
        <v>117156</v>
      </c>
      <c r="AS46" s="309">
        <f>230*B46</f>
        <v>1380</v>
      </c>
      <c r="AT46" s="309">
        <f>AS46*16%</f>
        <v>220.8</v>
      </c>
      <c r="AU46" s="311">
        <f>AR46+AS46+AT46</f>
        <v>118756.8</v>
      </c>
    </row>
    <row r="47" spans="2:47" s="281" customFormat="1" ht="12.75" customHeight="1">
      <c r="B47" s="292">
        <v>3</v>
      </c>
      <c r="C47" s="293"/>
      <c r="D47" s="294"/>
      <c r="E47" s="294"/>
      <c r="F47" s="312" t="s">
        <v>619</v>
      </c>
      <c r="G47" s="296" t="s">
        <v>763</v>
      </c>
      <c r="H47" s="298">
        <v>46418</v>
      </c>
      <c r="I47" s="301" t="s">
        <v>514</v>
      </c>
      <c r="J47" s="303" t="s">
        <v>764</v>
      </c>
      <c r="K47" s="300">
        <v>0.57291666666666663</v>
      </c>
      <c r="L47" s="300">
        <v>0.63541666666666663</v>
      </c>
      <c r="M47" s="298">
        <v>46418</v>
      </c>
      <c r="N47" s="303" t="s">
        <v>757</v>
      </c>
      <c r="O47" s="303" t="s">
        <v>758</v>
      </c>
      <c r="P47" s="302">
        <v>0.73888888888888893</v>
      </c>
      <c r="Q47" s="302">
        <v>0.79166666666666663</v>
      </c>
      <c r="R47" s="301">
        <v>46419</v>
      </c>
      <c r="S47" s="302" t="s">
        <v>640</v>
      </c>
      <c r="T47" s="303" t="s">
        <v>641</v>
      </c>
      <c r="U47" s="302">
        <v>0.36805555555555558</v>
      </c>
      <c r="V47" s="302">
        <v>0.65069444444444446</v>
      </c>
      <c r="W47" s="304">
        <v>46422</v>
      </c>
      <c r="X47" s="305" t="s">
        <v>642</v>
      </c>
      <c r="Y47" s="305" t="s">
        <v>643</v>
      </c>
      <c r="Z47" s="305">
        <v>0.70277777777777772</v>
      </c>
      <c r="AA47" s="305">
        <v>0.82986111111111116</v>
      </c>
      <c r="AB47" s="322">
        <v>46423</v>
      </c>
      <c r="AC47" s="314" t="s">
        <v>759</v>
      </c>
      <c r="AD47" s="314" t="s">
        <v>760</v>
      </c>
      <c r="AE47" s="305">
        <v>0.34375</v>
      </c>
      <c r="AF47" s="305">
        <v>0.39027777777777778</v>
      </c>
      <c r="AG47" s="322">
        <v>46423</v>
      </c>
      <c r="AH47" s="305" t="s">
        <v>514</v>
      </c>
      <c r="AI47" s="305" t="s">
        <v>765</v>
      </c>
      <c r="AJ47" s="305">
        <v>0.51041666666666663</v>
      </c>
      <c r="AK47" s="305">
        <v>0.5756944444444444</v>
      </c>
      <c r="AL47" s="319" t="s">
        <v>766</v>
      </c>
      <c r="AM47" s="315"/>
      <c r="AN47" s="316"/>
      <c r="AO47" s="309">
        <f>SUM(908+13100)*B47</f>
        <v>42024</v>
      </c>
      <c r="AP47" s="309">
        <f>524*B47</f>
        <v>1572</v>
      </c>
      <c r="AQ47" s="309">
        <f>SUM(3587+2240)*B47</f>
        <v>17481</v>
      </c>
      <c r="AR47" s="309">
        <f>AO47+AP47+AQ47</f>
        <v>61077</v>
      </c>
      <c r="AS47" s="309">
        <f>230*B47</f>
        <v>690</v>
      </c>
      <c r="AT47" s="309">
        <f>AS47*16%</f>
        <v>110.4</v>
      </c>
      <c r="AU47" s="311">
        <f>AR47+AS47+AT47</f>
        <v>61877.4</v>
      </c>
    </row>
    <row r="48" spans="2:47" s="281" customFormat="1" ht="12.75" customHeight="1">
      <c r="B48" s="324">
        <v>1</v>
      </c>
      <c r="C48" s="325"/>
      <c r="D48" s="326"/>
      <c r="E48" s="326"/>
      <c r="F48" s="327" t="s">
        <v>623</v>
      </c>
      <c r="G48" s="328" t="s">
        <v>767</v>
      </c>
      <c r="H48" s="329"/>
      <c r="I48" s="329"/>
      <c r="J48" s="330"/>
      <c r="K48" s="331"/>
      <c r="L48" s="331"/>
      <c r="M48" s="329">
        <v>46419</v>
      </c>
      <c r="N48" s="330" t="s">
        <v>768</v>
      </c>
      <c r="O48" s="330" t="s">
        <v>769</v>
      </c>
      <c r="P48" s="333">
        <v>0.35416666666666669</v>
      </c>
      <c r="Q48" s="333">
        <v>0.54166666666666663</v>
      </c>
      <c r="R48" s="329">
        <v>46419</v>
      </c>
      <c r="S48" s="333" t="s">
        <v>665</v>
      </c>
      <c r="T48" s="330" t="s">
        <v>666</v>
      </c>
      <c r="U48" s="333">
        <v>0.69861111111111107</v>
      </c>
      <c r="V48" s="333">
        <v>0.92638888888888893</v>
      </c>
      <c r="W48" s="334">
        <v>46422</v>
      </c>
      <c r="X48" s="335" t="s">
        <v>667</v>
      </c>
      <c r="Y48" s="335" t="s">
        <v>668</v>
      </c>
      <c r="Z48" s="335">
        <v>0.25</v>
      </c>
      <c r="AA48" s="335">
        <v>0.37916666666666665</v>
      </c>
      <c r="AB48" s="334">
        <v>46422</v>
      </c>
      <c r="AC48" s="336" t="s">
        <v>770</v>
      </c>
      <c r="AD48" s="336" t="s">
        <v>771</v>
      </c>
      <c r="AE48" s="335">
        <v>0.54166666666666663</v>
      </c>
      <c r="AF48" s="335">
        <v>0.72916666666666663</v>
      </c>
      <c r="AG48" s="337"/>
      <c r="AH48" s="335"/>
      <c r="AI48" s="335"/>
      <c r="AJ48" s="335"/>
      <c r="AK48" s="335"/>
      <c r="AL48" s="338" t="s">
        <v>772</v>
      </c>
      <c r="AM48" s="339"/>
      <c r="AN48" s="340"/>
      <c r="AO48" s="341">
        <f>8925*B48</f>
        <v>8925</v>
      </c>
      <c r="AP48" s="341">
        <f>357*B48</f>
        <v>357</v>
      </c>
      <c r="AQ48" s="341">
        <f>SUM(3995+1100)*B48</f>
        <v>5095</v>
      </c>
      <c r="AR48" s="341">
        <f>AO48+AP48+AQ48</f>
        <v>14377</v>
      </c>
      <c r="AS48" s="341">
        <f>230*B48</f>
        <v>230</v>
      </c>
      <c r="AT48" s="341">
        <f>AS48*16%</f>
        <v>36.800000000000004</v>
      </c>
      <c r="AU48" s="342">
        <f>AR48+AS48+AT48</f>
        <v>14643.8</v>
      </c>
    </row>
    <row r="49" spans="2:56" ht="12.75" customHeight="1">
      <c r="AL49" s="493" t="s">
        <v>626</v>
      </c>
      <c r="AM49" s="494"/>
      <c r="AN49" s="495"/>
      <c r="AO49" s="343">
        <f>SUM(AO9:AO48)</f>
        <v>5305441</v>
      </c>
      <c r="AP49" s="343">
        <f>SUM(AP9:AP48)</f>
        <v>215883</v>
      </c>
      <c r="AQ49" s="343">
        <f>SUM(AQ9:AQ48)</f>
        <v>2166608</v>
      </c>
      <c r="AR49" s="343">
        <f>SUM(AR9:AR48)</f>
        <v>7687932</v>
      </c>
      <c r="AS49" s="343">
        <f>SUM(AS9:AS48)</f>
        <v>95220</v>
      </c>
      <c r="AT49" s="343">
        <f>SUM(AT9:AT48)</f>
        <v>15235.2</v>
      </c>
      <c r="AU49" s="343">
        <f>SUM(AU9:AU48)</f>
        <v>7798387.1999999974</v>
      </c>
    </row>
    <row r="50" spans="2:56" s="282" customFormat="1" ht="12.75">
      <c r="B50" s="344"/>
      <c r="AL50" s="285"/>
      <c r="AM50" s="285"/>
      <c r="AN50" s="285"/>
      <c r="AO50" s="345"/>
      <c r="AP50" s="345"/>
      <c r="AQ50" s="345"/>
      <c r="AR50" s="345"/>
      <c r="AS50" s="345"/>
      <c r="AT50" s="345"/>
      <c r="AU50" s="345"/>
    </row>
    <row r="51" spans="2:56" ht="12.75">
      <c r="B51" s="286"/>
      <c r="C51" s="487" t="s">
        <v>627</v>
      </c>
      <c r="D51" s="488"/>
      <c r="E51" s="488"/>
      <c r="F51" s="489"/>
      <c r="AT51" s="287"/>
    </row>
    <row r="52" spans="2:56" ht="12.75" customHeight="1">
      <c r="B52" s="286"/>
      <c r="C52" s="280" t="s">
        <v>400</v>
      </c>
      <c r="D52" s="280" t="s">
        <v>400</v>
      </c>
      <c r="H52" s="487" t="s">
        <v>401</v>
      </c>
      <c r="I52" s="488"/>
      <c r="J52" s="488"/>
      <c r="K52" s="488"/>
      <c r="L52" s="488"/>
      <c r="M52" s="488"/>
      <c r="N52" s="488"/>
      <c r="O52" s="488"/>
      <c r="P52" s="488"/>
      <c r="Q52" s="489"/>
      <c r="R52" s="288"/>
      <c r="S52" s="288"/>
      <c r="T52" s="288"/>
      <c r="U52" s="288"/>
      <c r="V52" s="288"/>
      <c r="W52" s="487" t="s">
        <v>402</v>
      </c>
      <c r="X52" s="488"/>
      <c r="Y52" s="488"/>
      <c r="Z52" s="488"/>
      <c r="AA52" s="488"/>
      <c r="AB52" s="488"/>
      <c r="AC52" s="488"/>
      <c r="AD52" s="488"/>
      <c r="AE52" s="488"/>
      <c r="AF52" s="488"/>
      <c r="AG52" s="488"/>
      <c r="AH52" s="488"/>
      <c r="AI52" s="488"/>
      <c r="AJ52" s="488"/>
      <c r="AK52" s="489"/>
      <c r="AT52" s="287"/>
    </row>
    <row r="53" spans="2:56" ht="27">
      <c r="B53" s="346" t="s">
        <v>403</v>
      </c>
      <c r="C53" s="347" t="s">
        <v>404</v>
      </c>
      <c r="D53" s="348" t="s">
        <v>405</v>
      </c>
      <c r="E53" s="348" t="s">
        <v>406</v>
      </c>
      <c r="F53" s="348" t="s">
        <v>407</v>
      </c>
      <c r="G53" s="348" t="s">
        <v>408</v>
      </c>
      <c r="H53" s="348"/>
      <c r="I53" s="348"/>
      <c r="J53" s="348"/>
      <c r="K53" s="348"/>
      <c r="L53" s="348"/>
      <c r="M53" s="348" t="s">
        <v>409</v>
      </c>
      <c r="N53" s="348" t="s">
        <v>410</v>
      </c>
      <c r="O53" s="348" t="s">
        <v>411</v>
      </c>
      <c r="P53" s="348" t="s">
        <v>412</v>
      </c>
      <c r="Q53" s="348" t="s">
        <v>413</v>
      </c>
      <c r="R53" s="348"/>
      <c r="S53" s="348"/>
      <c r="T53" s="348"/>
      <c r="U53" s="348"/>
      <c r="V53" s="349"/>
      <c r="W53" s="350" t="s">
        <v>409</v>
      </c>
      <c r="X53" s="351" t="s">
        <v>410</v>
      </c>
      <c r="Y53" s="351" t="s">
        <v>411</v>
      </c>
      <c r="Z53" s="351" t="s">
        <v>412</v>
      </c>
      <c r="AA53" s="351" t="s">
        <v>413</v>
      </c>
      <c r="AB53" s="351" t="s">
        <v>409</v>
      </c>
      <c r="AC53" s="351" t="s">
        <v>410</v>
      </c>
      <c r="AD53" s="351" t="s">
        <v>411</v>
      </c>
      <c r="AE53" s="351" t="s">
        <v>412</v>
      </c>
      <c r="AF53" s="351" t="s">
        <v>413</v>
      </c>
      <c r="AG53" s="351" t="s">
        <v>409</v>
      </c>
      <c r="AH53" s="351" t="s">
        <v>410</v>
      </c>
      <c r="AI53" s="351" t="s">
        <v>411</v>
      </c>
      <c r="AJ53" s="351" t="s">
        <v>412</v>
      </c>
      <c r="AK53" s="351" t="s">
        <v>413</v>
      </c>
      <c r="AL53" s="347" t="s">
        <v>414</v>
      </c>
      <c r="AM53" s="348" t="s">
        <v>415</v>
      </c>
      <c r="AN53" s="348" t="s">
        <v>416</v>
      </c>
      <c r="AO53" s="348" t="s">
        <v>417</v>
      </c>
      <c r="AP53" s="348" t="s">
        <v>418</v>
      </c>
      <c r="AQ53" s="348" t="s">
        <v>419</v>
      </c>
      <c r="AR53" s="352" t="s">
        <v>70</v>
      </c>
      <c r="AS53" s="348" t="s">
        <v>420</v>
      </c>
      <c r="AT53" s="348" t="s">
        <v>418</v>
      </c>
      <c r="AU53" s="352" t="s">
        <v>70</v>
      </c>
    </row>
    <row r="54" spans="2:56" s="281" customFormat="1" ht="12.75" customHeight="1">
      <c r="B54" s="353">
        <v>1</v>
      </c>
      <c r="C54" s="354"/>
      <c r="D54" s="355"/>
      <c r="E54" s="355"/>
      <c r="F54" s="356"/>
      <c r="G54" s="357"/>
      <c r="H54" s="358"/>
      <c r="I54" s="358"/>
      <c r="J54" s="358"/>
      <c r="K54" s="358"/>
      <c r="L54" s="358"/>
      <c r="M54" s="359"/>
      <c r="N54" s="359"/>
      <c r="O54" s="359"/>
      <c r="P54" s="360"/>
      <c r="Q54" s="360"/>
      <c r="R54" s="360"/>
      <c r="S54" s="360"/>
      <c r="T54" s="360"/>
      <c r="U54" s="360"/>
      <c r="V54" s="360"/>
      <c r="W54" s="361"/>
      <c r="X54" s="361"/>
      <c r="Y54" s="361"/>
      <c r="Z54" s="361"/>
      <c r="AA54" s="361"/>
      <c r="AB54" s="362"/>
      <c r="AC54" s="363"/>
      <c r="AD54" s="363"/>
      <c r="AE54" s="361"/>
      <c r="AF54" s="361"/>
      <c r="AG54" s="361"/>
      <c r="AH54" s="361"/>
      <c r="AI54" s="361"/>
      <c r="AJ54" s="361"/>
      <c r="AK54" s="361"/>
      <c r="AL54" s="364"/>
      <c r="AM54" s="365"/>
      <c r="AN54" s="366"/>
      <c r="AO54" s="367"/>
      <c r="AP54" s="367"/>
      <c r="AQ54" s="367"/>
      <c r="AR54" s="368"/>
      <c r="AS54" s="369"/>
      <c r="AT54" s="369"/>
      <c r="AU54" s="310"/>
    </row>
    <row r="55" spans="2:56" s="281" customFormat="1" ht="12.75" customHeight="1">
      <c r="B55" s="370">
        <v>2</v>
      </c>
      <c r="C55" s="325"/>
      <c r="D55" s="326"/>
      <c r="E55" s="326"/>
      <c r="F55" s="327"/>
      <c r="G55" s="327"/>
      <c r="H55" s="371"/>
      <c r="I55" s="371"/>
      <c r="J55" s="371"/>
      <c r="K55" s="371"/>
      <c r="L55" s="371"/>
      <c r="M55" s="330"/>
      <c r="N55" s="372"/>
      <c r="O55" s="372"/>
      <c r="P55" s="333"/>
      <c r="Q55" s="333"/>
      <c r="R55" s="333"/>
      <c r="S55" s="333"/>
      <c r="T55" s="333"/>
      <c r="U55" s="333"/>
      <c r="V55" s="333"/>
      <c r="W55" s="335"/>
      <c r="X55" s="335"/>
      <c r="Y55" s="335"/>
      <c r="Z55" s="335"/>
      <c r="AA55" s="335"/>
      <c r="AB55" s="373"/>
      <c r="AC55" s="336"/>
      <c r="AD55" s="336"/>
      <c r="AE55" s="335"/>
      <c r="AF55" s="335"/>
      <c r="AG55" s="335"/>
      <c r="AH55" s="335"/>
      <c r="AI55" s="335"/>
      <c r="AJ55" s="335"/>
      <c r="AK55" s="335"/>
      <c r="AL55" s="341"/>
      <c r="AM55" s="339"/>
      <c r="AN55" s="340"/>
      <c r="AO55" s="374"/>
      <c r="AP55" s="374"/>
      <c r="AQ55" s="374"/>
      <c r="AR55" s="374"/>
      <c r="AS55" s="375"/>
      <c r="AT55" s="375"/>
      <c r="AU55" s="310">
        <f>SUM(AR55:AT55)</f>
        <v>0</v>
      </c>
    </row>
    <row r="56" spans="2:56" ht="12.75">
      <c r="AL56" s="493" t="s">
        <v>626</v>
      </c>
      <c r="AM56" s="494"/>
      <c r="AN56" s="495"/>
      <c r="AO56" s="343">
        <f>SUM(AO54:AO55)</f>
        <v>0</v>
      </c>
      <c r="AP56" s="343">
        <f>SUM(AP54:AP55)</f>
        <v>0</v>
      </c>
      <c r="AQ56" s="343">
        <f>SUM(AQ54:AQ55)</f>
        <v>0</v>
      </c>
      <c r="AR56" s="343">
        <f>SUM(AR54:AR55)</f>
        <v>0</v>
      </c>
      <c r="AS56" s="343">
        <f>SUM(AS54:AS55)</f>
        <v>0</v>
      </c>
      <c r="AT56" s="343">
        <f>SUM(AT54:AT55)</f>
        <v>0</v>
      </c>
      <c r="AU56" s="343">
        <f>SUM(AU54:AU55)</f>
        <v>0</v>
      </c>
    </row>
    <row r="57" spans="2:56" ht="12.75">
      <c r="B57" s="286"/>
      <c r="C57" s="487" t="s">
        <v>628</v>
      </c>
      <c r="D57" s="488"/>
      <c r="E57" s="488"/>
      <c r="F57" s="489"/>
      <c r="AT57" s="287"/>
    </row>
    <row r="58" spans="2:56" ht="12.75" customHeight="1">
      <c r="B58" s="286"/>
      <c r="C58" s="280" t="s">
        <v>400</v>
      </c>
      <c r="D58" s="280" t="s">
        <v>400</v>
      </c>
      <c r="H58" s="487" t="s">
        <v>401</v>
      </c>
      <c r="I58" s="488"/>
      <c r="J58" s="488"/>
      <c r="K58" s="488"/>
      <c r="L58" s="488"/>
      <c r="M58" s="488"/>
      <c r="N58" s="488"/>
      <c r="O58" s="488"/>
      <c r="P58" s="488"/>
      <c r="Q58" s="489"/>
      <c r="R58" s="288"/>
      <c r="S58" s="288"/>
      <c r="T58" s="288"/>
      <c r="U58" s="288"/>
      <c r="V58" s="288"/>
      <c r="W58" s="487" t="s">
        <v>402</v>
      </c>
      <c r="X58" s="488"/>
      <c r="Y58" s="48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9"/>
      <c r="AT58" s="287"/>
    </row>
    <row r="59" spans="2:56" ht="27">
      <c r="B59" s="346" t="s">
        <v>403</v>
      </c>
      <c r="C59" s="347" t="s">
        <v>404</v>
      </c>
      <c r="D59" s="348" t="s">
        <v>405</v>
      </c>
      <c r="E59" s="348" t="s">
        <v>406</v>
      </c>
      <c r="F59" s="348" t="s">
        <v>407</v>
      </c>
      <c r="G59" s="349" t="s">
        <v>408</v>
      </c>
      <c r="H59" s="350"/>
      <c r="I59" s="351"/>
      <c r="J59" s="351"/>
      <c r="K59" s="351"/>
      <c r="L59" s="351"/>
      <c r="M59" s="376" t="s">
        <v>409</v>
      </c>
      <c r="N59" s="347" t="s">
        <v>410</v>
      </c>
      <c r="O59" s="348" t="s">
        <v>411</v>
      </c>
      <c r="P59" s="348" t="s">
        <v>412</v>
      </c>
      <c r="Q59" s="348" t="s">
        <v>413</v>
      </c>
      <c r="R59" s="348" t="s">
        <v>409</v>
      </c>
      <c r="S59" s="348" t="s">
        <v>410</v>
      </c>
      <c r="T59" s="348" t="s">
        <v>411</v>
      </c>
      <c r="U59" s="348" t="s">
        <v>412</v>
      </c>
      <c r="V59" s="349" t="s">
        <v>413</v>
      </c>
      <c r="W59" s="350" t="s">
        <v>409</v>
      </c>
      <c r="X59" s="351" t="s">
        <v>410</v>
      </c>
      <c r="Y59" s="351" t="s">
        <v>411</v>
      </c>
      <c r="Z59" s="351" t="s">
        <v>412</v>
      </c>
      <c r="AA59" s="351" t="s">
        <v>413</v>
      </c>
      <c r="AB59" s="351" t="s">
        <v>409</v>
      </c>
      <c r="AC59" s="351" t="s">
        <v>410</v>
      </c>
      <c r="AD59" s="351" t="s">
        <v>411</v>
      </c>
      <c r="AE59" s="351" t="s">
        <v>412</v>
      </c>
      <c r="AF59" s="351" t="s">
        <v>413</v>
      </c>
      <c r="AG59" s="351" t="s">
        <v>409</v>
      </c>
      <c r="AH59" s="351" t="s">
        <v>410</v>
      </c>
      <c r="AI59" s="351" t="s">
        <v>411</v>
      </c>
      <c r="AJ59" s="351" t="s">
        <v>412</v>
      </c>
      <c r="AK59" s="351" t="s">
        <v>413</v>
      </c>
      <c r="AL59" s="347" t="s">
        <v>414</v>
      </c>
      <c r="AM59" s="348" t="s">
        <v>415</v>
      </c>
      <c r="AN59" s="348" t="s">
        <v>416</v>
      </c>
      <c r="AO59" s="348" t="s">
        <v>417</v>
      </c>
      <c r="AP59" s="348" t="s">
        <v>418</v>
      </c>
      <c r="AQ59" s="348" t="s">
        <v>419</v>
      </c>
      <c r="AR59" s="352" t="s">
        <v>70</v>
      </c>
      <c r="AS59" s="348" t="s">
        <v>420</v>
      </c>
      <c r="AT59" s="348" t="s">
        <v>418</v>
      </c>
      <c r="AU59" s="352" t="s">
        <v>70</v>
      </c>
    </row>
    <row r="60" spans="2:56" s="281" customFormat="1" ht="12.75" customHeight="1">
      <c r="B60" s="377">
        <v>1</v>
      </c>
      <c r="C60" s="378"/>
      <c r="D60" s="379"/>
      <c r="E60" s="379"/>
      <c r="F60" s="380"/>
      <c r="G60" s="381"/>
      <c r="H60" s="382"/>
      <c r="I60" s="382"/>
      <c r="J60" s="382"/>
      <c r="K60" s="382"/>
      <c r="L60" s="382"/>
      <c r="M60" s="383"/>
      <c r="N60" s="303"/>
      <c r="O60" s="303"/>
      <c r="P60" s="302"/>
      <c r="Q60" s="302"/>
      <c r="R60" s="303"/>
      <c r="S60" s="303"/>
      <c r="T60" s="303"/>
      <c r="U60" s="302"/>
      <c r="V60" s="302"/>
      <c r="W60" s="384"/>
      <c r="X60" s="384"/>
      <c r="Y60" s="385"/>
      <c r="Z60" s="386"/>
      <c r="AA60" s="386"/>
      <c r="AB60" s="387"/>
      <c r="AC60" s="387"/>
      <c r="AD60" s="387"/>
      <c r="AE60" s="387"/>
      <c r="AF60" s="387"/>
      <c r="AG60" s="388"/>
      <c r="AH60" s="388"/>
      <c r="AI60" s="388"/>
      <c r="AJ60" s="388"/>
      <c r="AK60" s="388"/>
      <c r="AL60" s="389"/>
      <c r="AM60" s="389"/>
      <c r="AN60" s="389"/>
      <c r="AO60" s="310">
        <v>0</v>
      </c>
      <c r="AP60" s="310">
        <v>0</v>
      </c>
      <c r="AQ60" s="310">
        <v>0</v>
      </c>
      <c r="AR60" s="310">
        <f>AO60+AP60+AQ60</f>
        <v>0</v>
      </c>
      <c r="AS60" s="310">
        <v>0</v>
      </c>
      <c r="AT60" s="310">
        <f>AS60*16%</f>
        <v>0</v>
      </c>
      <c r="AU60" s="390">
        <f>AR60+AS60+AT60</f>
        <v>0</v>
      </c>
    </row>
    <row r="61" spans="2:56" s="281" customFormat="1" ht="12.75" customHeight="1">
      <c r="B61" s="377">
        <v>2</v>
      </c>
      <c r="C61" s="391"/>
      <c r="D61" s="294"/>
      <c r="E61" s="294"/>
      <c r="F61" s="295"/>
      <c r="G61" s="296"/>
      <c r="H61" s="392"/>
      <c r="I61" s="392"/>
      <c r="J61" s="392"/>
      <c r="K61" s="392"/>
      <c r="L61" s="392"/>
      <c r="M61" s="393"/>
      <c r="N61" s="393"/>
      <c r="O61" s="303"/>
      <c r="P61" s="393"/>
      <c r="Q61" s="393"/>
      <c r="R61" s="303"/>
      <c r="S61" s="303"/>
      <c r="T61" s="303"/>
      <c r="U61" s="302"/>
      <c r="V61" s="302"/>
      <c r="W61" s="304"/>
      <c r="X61" s="314"/>
      <c r="Y61" s="314"/>
      <c r="Z61" s="305"/>
      <c r="AA61" s="305"/>
      <c r="AB61" s="394"/>
      <c r="AC61" s="394"/>
      <c r="AD61" s="394"/>
      <c r="AE61" s="394"/>
      <c r="AF61" s="394"/>
      <c r="AG61" s="394"/>
      <c r="AH61" s="394"/>
      <c r="AI61" s="394"/>
      <c r="AJ61" s="394"/>
      <c r="AK61" s="394"/>
      <c r="AL61" s="395"/>
      <c r="AM61" s="310"/>
      <c r="AN61" s="310"/>
      <c r="AO61" s="310">
        <v>0</v>
      </c>
      <c r="AP61" s="310">
        <v>0</v>
      </c>
      <c r="AQ61" s="310">
        <v>0</v>
      </c>
      <c r="AR61" s="310">
        <f>AO61+AP61+AQ61</f>
        <v>0</v>
      </c>
      <c r="AS61" s="310">
        <v>0</v>
      </c>
      <c r="AT61" s="310">
        <f>AS61*16%</f>
        <v>0</v>
      </c>
      <c r="AU61" s="390">
        <f>AR61+AS61+AT61</f>
        <v>0</v>
      </c>
    </row>
    <row r="62" spans="2:56" ht="12.75">
      <c r="AL62" s="493" t="s">
        <v>626</v>
      </c>
      <c r="AM62" s="494"/>
      <c r="AN62" s="495"/>
      <c r="AO62" s="343">
        <f>SUM(AO60:AO61)</f>
        <v>0</v>
      </c>
      <c r="AP62" s="343">
        <f>SUM(AP60:AP61)</f>
        <v>0</v>
      </c>
      <c r="AQ62" s="343">
        <f>SUM(AQ60:AQ61)</f>
        <v>0</v>
      </c>
      <c r="AR62" s="343">
        <f>SUM(AR60:AR61)</f>
        <v>0</v>
      </c>
      <c r="AS62" s="343">
        <f>SUM(AS60:AS61)</f>
        <v>0</v>
      </c>
      <c r="AT62" s="343">
        <f>SUM(AT60:AT61)</f>
        <v>0</v>
      </c>
      <c r="AU62" s="343">
        <f>SUM(AU60:AU61)</f>
        <v>0</v>
      </c>
    </row>
    <row r="63" spans="2:56" ht="12.75">
      <c r="C63" s="396"/>
      <c r="D63" s="396"/>
      <c r="E63" s="396"/>
      <c r="F63" s="396"/>
      <c r="G63" s="396"/>
      <c r="H63" s="396"/>
      <c r="I63" s="396"/>
      <c r="J63" s="396"/>
      <c r="K63" s="396"/>
      <c r="L63" s="396"/>
      <c r="Q63" s="280" t="s">
        <v>116</v>
      </c>
      <c r="AE63" s="397"/>
      <c r="BD63" s="398"/>
    </row>
    <row r="65" spans="2:58" ht="12.75">
      <c r="BE65" s="399"/>
      <c r="BF65" s="400"/>
    </row>
    <row r="66" spans="2:58" ht="14.45"/>
    <row r="67" spans="2:58" ht="12.75">
      <c r="B67" s="286"/>
      <c r="C67" s="487" t="s">
        <v>629</v>
      </c>
      <c r="D67" s="488"/>
      <c r="E67" s="488"/>
      <c r="F67" s="489"/>
      <c r="AT67" s="287"/>
    </row>
    <row r="68" spans="2:58" ht="12.75" customHeight="1">
      <c r="B68" s="286"/>
      <c r="C68" s="280" t="s">
        <v>400</v>
      </c>
      <c r="D68" s="280" t="s">
        <v>400</v>
      </c>
      <c r="H68" s="487" t="s">
        <v>401</v>
      </c>
      <c r="I68" s="488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9"/>
      <c r="W68" s="487" t="s">
        <v>402</v>
      </c>
      <c r="X68" s="488"/>
      <c r="Y68" s="488"/>
      <c r="Z68" s="488"/>
      <c r="AA68" s="488"/>
      <c r="AB68" s="488"/>
      <c r="AC68" s="488"/>
      <c r="AD68" s="488"/>
      <c r="AE68" s="488"/>
      <c r="AF68" s="488"/>
      <c r="AG68" s="488"/>
      <c r="AH68" s="488"/>
      <c r="AI68" s="488"/>
      <c r="AJ68" s="488"/>
      <c r="AK68" s="489"/>
      <c r="AT68" s="287"/>
    </row>
    <row r="69" spans="2:58" ht="27">
      <c r="B69" s="346" t="s">
        <v>403</v>
      </c>
      <c r="C69" s="347" t="s">
        <v>404</v>
      </c>
      <c r="D69" s="348" t="s">
        <v>405</v>
      </c>
      <c r="E69" s="348" t="s">
        <v>406</v>
      </c>
      <c r="F69" s="348" t="s">
        <v>407</v>
      </c>
      <c r="G69" s="348" t="s">
        <v>408</v>
      </c>
      <c r="H69" s="348"/>
      <c r="I69" s="348"/>
      <c r="J69" s="348"/>
      <c r="K69" s="348"/>
      <c r="L69" s="348"/>
      <c r="M69" s="348" t="s">
        <v>409</v>
      </c>
      <c r="N69" s="348" t="s">
        <v>410</v>
      </c>
      <c r="O69" s="348" t="s">
        <v>411</v>
      </c>
      <c r="P69" s="348" t="s">
        <v>412</v>
      </c>
      <c r="Q69" s="348" t="s">
        <v>413</v>
      </c>
      <c r="R69" s="348" t="s">
        <v>409</v>
      </c>
      <c r="S69" s="348" t="s">
        <v>410</v>
      </c>
      <c r="T69" s="348" t="s">
        <v>411</v>
      </c>
      <c r="U69" s="348" t="s">
        <v>412</v>
      </c>
      <c r="V69" s="348" t="s">
        <v>413</v>
      </c>
      <c r="W69" s="348" t="s">
        <v>409</v>
      </c>
      <c r="X69" s="348" t="s">
        <v>410</v>
      </c>
      <c r="Y69" s="348" t="s">
        <v>411</v>
      </c>
      <c r="Z69" s="348" t="s">
        <v>412</v>
      </c>
      <c r="AA69" s="348" t="s">
        <v>413</v>
      </c>
      <c r="AB69" s="348" t="s">
        <v>409</v>
      </c>
      <c r="AC69" s="348" t="s">
        <v>410</v>
      </c>
      <c r="AD69" s="348" t="s">
        <v>411</v>
      </c>
      <c r="AE69" s="348" t="s">
        <v>412</v>
      </c>
      <c r="AF69" s="348" t="s">
        <v>413</v>
      </c>
      <c r="AG69" s="348"/>
      <c r="AH69" s="348"/>
      <c r="AI69" s="348"/>
      <c r="AJ69" s="348"/>
      <c r="AK69" s="348"/>
      <c r="AL69" s="348" t="s">
        <v>414</v>
      </c>
      <c r="AM69" s="348" t="s">
        <v>415</v>
      </c>
      <c r="AN69" s="348" t="s">
        <v>416</v>
      </c>
      <c r="AO69" s="348" t="s">
        <v>417</v>
      </c>
      <c r="AP69" s="348" t="s">
        <v>418</v>
      </c>
      <c r="AQ69" s="348" t="s">
        <v>419</v>
      </c>
      <c r="AR69" s="352" t="s">
        <v>70</v>
      </c>
      <c r="AS69" s="348" t="s">
        <v>420</v>
      </c>
      <c r="AT69" s="348" t="s">
        <v>418</v>
      </c>
      <c r="AU69" s="352" t="s">
        <v>70</v>
      </c>
    </row>
    <row r="70" spans="2:58" ht="13.5">
      <c r="B70" s="353">
        <v>1</v>
      </c>
      <c r="C70" s="354"/>
      <c r="D70" s="355"/>
      <c r="E70" s="355"/>
      <c r="F70" s="356"/>
      <c r="G70" s="357"/>
      <c r="H70" s="358"/>
      <c r="I70" s="358"/>
      <c r="J70" s="358"/>
      <c r="K70" s="358"/>
      <c r="L70" s="358"/>
      <c r="M70" s="301">
        <v>46419</v>
      </c>
      <c r="N70" s="303" t="s">
        <v>655</v>
      </c>
      <c r="O70" s="303" t="s">
        <v>656</v>
      </c>
      <c r="P70" s="302">
        <v>0.24652777777777779</v>
      </c>
      <c r="Q70" s="302">
        <v>0.44444444444444442</v>
      </c>
      <c r="R70" s="301">
        <v>46419</v>
      </c>
      <c r="S70" s="302" t="s">
        <v>657</v>
      </c>
      <c r="T70" s="303" t="s">
        <v>658</v>
      </c>
      <c r="U70" s="302">
        <v>0.47291666666666665</v>
      </c>
      <c r="V70" s="302">
        <v>0.62013888888888891</v>
      </c>
      <c r="W70" s="304">
        <v>46422</v>
      </c>
      <c r="X70" s="305" t="s">
        <v>659</v>
      </c>
      <c r="Y70" s="305" t="s">
        <v>660</v>
      </c>
      <c r="Z70" s="305">
        <v>0.52708333333333335</v>
      </c>
      <c r="AA70" s="305">
        <v>0.6020833333333333</v>
      </c>
      <c r="AB70" s="304">
        <v>46422</v>
      </c>
      <c r="AC70" s="314" t="s">
        <v>661</v>
      </c>
      <c r="AD70" s="314" t="s">
        <v>662</v>
      </c>
      <c r="AE70" s="305">
        <v>0.68055555555555558</v>
      </c>
      <c r="AF70" s="305">
        <v>0.80555555555555558</v>
      </c>
      <c r="AG70" s="305"/>
      <c r="AH70" s="305"/>
      <c r="AI70" s="305"/>
      <c r="AJ70" s="305"/>
      <c r="AK70" s="305"/>
      <c r="AL70" s="319" t="s">
        <v>663</v>
      </c>
      <c r="AM70" s="315"/>
      <c r="AN70" s="316"/>
      <c r="AO70" s="309">
        <f>14922*B70</f>
        <v>14922</v>
      </c>
      <c r="AP70" s="309">
        <f>597*B70</f>
        <v>597</v>
      </c>
      <c r="AQ70" s="309">
        <f>4937*B70</f>
        <v>4937</v>
      </c>
      <c r="AR70" s="309">
        <f>AO70+AP70+AQ70</f>
        <v>20456</v>
      </c>
      <c r="AS70" s="309">
        <f>230*B70</f>
        <v>230</v>
      </c>
      <c r="AT70" s="309">
        <f>AS70*16%</f>
        <v>36.800000000000004</v>
      </c>
      <c r="AU70" s="311">
        <f>AR70+AS70+AT70</f>
        <v>20722.8</v>
      </c>
      <c r="AV70" s="281"/>
      <c r="AW70" s="309">
        <f>AT70+AU70+AV70</f>
        <v>20759.599999999999</v>
      </c>
      <c r="AX70" s="309">
        <f>230*G70</f>
        <v>0</v>
      </c>
      <c r="AY70" s="309">
        <f>AX70*16%</f>
        <v>0</v>
      </c>
      <c r="AZ70" s="311">
        <f>AW70+AX70+AY70</f>
        <v>20759.599999999999</v>
      </c>
    </row>
    <row r="71" spans="2:58" ht="13.5">
      <c r="B71" s="401">
        <v>1</v>
      </c>
      <c r="C71" s="293"/>
      <c r="D71" s="294"/>
      <c r="E71" s="294"/>
      <c r="F71" s="312"/>
      <c r="G71" s="296"/>
      <c r="H71" s="392"/>
      <c r="I71" s="392"/>
      <c r="J71" s="392"/>
      <c r="K71" s="392"/>
      <c r="L71" s="392"/>
      <c r="M71" s="301">
        <v>46419</v>
      </c>
      <c r="N71" s="303" t="s">
        <v>655</v>
      </c>
      <c r="O71" s="303" t="s">
        <v>656</v>
      </c>
      <c r="P71" s="302">
        <v>0.24652777777777779</v>
      </c>
      <c r="Q71" s="302">
        <v>0.44444444444444442</v>
      </c>
      <c r="R71" s="301">
        <v>46419</v>
      </c>
      <c r="S71" s="302" t="s">
        <v>657</v>
      </c>
      <c r="T71" s="303" t="s">
        <v>658</v>
      </c>
      <c r="U71" s="302">
        <v>0.47291666666666665</v>
      </c>
      <c r="V71" s="302">
        <v>0.62013888888888891</v>
      </c>
      <c r="W71" s="304">
        <v>46422</v>
      </c>
      <c r="X71" s="305" t="s">
        <v>659</v>
      </c>
      <c r="Y71" s="305" t="s">
        <v>660</v>
      </c>
      <c r="Z71" s="305">
        <v>0.52708333333333335</v>
      </c>
      <c r="AA71" s="305">
        <v>0.6020833333333333</v>
      </c>
      <c r="AB71" s="304">
        <v>46422</v>
      </c>
      <c r="AC71" s="314" t="s">
        <v>661</v>
      </c>
      <c r="AD71" s="314" t="s">
        <v>662</v>
      </c>
      <c r="AE71" s="305">
        <v>0.68055555555555558</v>
      </c>
      <c r="AF71" s="305">
        <v>0.80555555555555558</v>
      </c>
      <c r="AG71" s="305"/>
      <c r="AH71" s="305"/>
      <c r="AI71" s="305"/>
      <c r="AJ71" s="305"/>
      <c r="AK71" s="305"/>
      <c r="AL71" s="319" t="s">
        <v>663</v>
      </c>
      <c r="AM71" s="315"/>
      <c r="AN71" s="316"/>
      <c r="AO71" s="309">
        <f>14922*B71</f>
        <v>14922</v>
      </c>
      <c r="AP71" s="309">
        <f>597*B71</f>
        <v>597</v>
      </c>
      <c r="AQ71" s="309">
        <f>4937*B71</f>
        <v>4937</v>
      </c>
      <c r="AR71" s="309">
        <f>AO71+AP71+AQ71</f>
        <v>20456</v>
      </c>
      <c r="AS71" s="309">
        <f>230*B71</f>
        <v>230</v>
      </c>
      <c r="AT71" s="309">
        <f>AS71*16%</f>
        <v>36.800000000000004</v>
      </c>
      <c r="AU71" s="311">
        <f>AR71+AS71+AT71</f>
        <v>20722.8</v>
      </c>
      <c r="AV71" s="281"/>
      <c r="AW71" s="309">
        <f>AT71+AU71+AV71</f>
        <v>20759.599999999999</v>
      </c>
      <c r="AX71" s="309">
        <f>230*G71</f>
        <v>0</v>
      </c>
      <c r="AY71" s="309">
        <f>AX71*16%</f>
        <v>0</v>
      </c>
      <c r="AZ71" s="311">
        <f>AW71+AX71+AY71</f>
        <v>20759.599999999999</v>
      </c>
    </row>
    <row r="72" spans="2:58" ht="12.75" customHeight="1">
      <c r="AL72" s="496" t="s">
        <v>626</v>
      </c>
      <c r="AM72" s="497"/>
      <c r="AN72" s="498"/>
      <c r="AO72" s="343">
        <f>SUM(AO70:AO71)</f>
        <v>29844</v>
      </c>
      <c r="AP72" s="343">
        <f>SUM(AP70:AP71)</f>
        <v>1194</v>
      </c>
      <c r="AQ72" s="343">
        <f>SUM(AQ70:AQ71)</f>
        <v>9874</v>
      </c>
      <c r="AR72" s="343">
        <f>SUM(AR70:AR71)</f>
        <v>40912</v>
      </c>
      <c r="AS72" s="343">
        <f>SUM(AS70:AS71)</f>
        <v>460</v>
      </c>
      <c r="AT72" s="343">
        <f>SUM(AT70:AT71)</f>
        <v>73.600000000000009</v>
      </c>
      <c r="AU72" s="343">
        <f>SUM(AU70:AU71)</f>
        <v>41445.599999999999</v>
      </c>
    </row>
    <row r="73" spans="2:58" ht="12.75">
      <c r="C73" s="396"/>
      <c r="D73" s="396"/>
      <c r="E73" s="396"/>
      <c r="F73" s="396"/>
      <c r="G73" s="396"/>
      <c r="H73" s="396"/>
      <c r="I73" s="396"/>
      <c r="J73" s="396"/>
      <c r="K73" s="396"/>
      <c r="L73" s="396"/>
      <c r="Q73" s="280" t="s">
        <v>116</v>
      </c>
      <c r="AE73" s="397"/>
      <c r="AT73" s="398"/>
    </row>
    <row r="74" spans="2:58" ht="14.45"/>
    <row r="75" spans="2:58" ht="12.75" customHeight="1">
      <c r="AL75" s="496" t="s">
        <v>626</v>
      </c>
      <c r="AM75" s="497"/>
      <c r="AN75" s="498"/>
      <c r="AO75" s="402">
        <f>AO62+AO72</f>
        <v>29844</v>
      </c>
      <c r="AP75" s="402">
        <f>AP62+AP72</f>
        <v>1194</v>
      </c>
      <c r="AQ75" s="402">
        <f>AQ62+AQ72</f>
        <v>9874</v>
      </c>
      <c r="AR75" s="402">
        <f>AR62+AR72</f>
        <v>40912</v>
      </c>
      <c r="AS75" s="402">
        <f>AS62+AS72</f>
        <v>460</v>
      </c>
      <c r="AT75" s="402">
        <f>AT62+AT72</f>
        <v>73.600000000000009</v>
      </c>
      <c r="AU75" s="402">
        <f>AU62+AU72</f>
        <v>41445.599999999999</v>
      </c>
    </row>
    <row r="76" spans="2:58" ht="12.75">
      <c r="AU76" s="399">
        <f>AU72-AT72-AP72</f>
        <v>40178</v>
      </c>
      <c r="AV76" s="400" t="s">
        <v>630</v>
      </c>
    </row>
  </sheetData>
  <autoFilter ref="A8:BF49" xr:uid="{96C4F138-78A7-46C1-B21B-5542A3300D62}"/>
  <mergeCells count="20">
    <mergeCell ref="AL72:AN72"/>
    <mergeCell ref="AL75:AN75"/>
    <mergeCell ref="H58:Q58"/>
    <mergeCell ref="W58:AK58"/>
    <mergeCell ref="AL62:AN62"/>
    <mergeCell ref="C67:F67"/>
    <mergeCell ref="H68:V68"/>
    <mergeCell ref="W68:AK68"/>
    <mergeCell ref="AL49:AN49"/>
    <mergeCell ref="C51:F51"/>
    <mergeCell ref="H52:Q52"/>
    <mergeCell ref="W52:AK52"/>
    <mergeCell ref="AL56:AN56"/>
    <mergeCell ref="C57:F57"/>
    <mergeCell ref="B1:AU1"/>
    <mergeCell ref="B2:AU2"/>
    <mergeCell ref="B3:AU3"/>
    <mergeCell ref="C6:F6"/>
    <mergeCell ref="H7:V7"/>
    <mergeCell ref="W7:AK7"/>
  </mergeCells>
  <pageMargins left="0.70866141732283472" right="0.70866141732283472" top="0.74803149606299213" bottom="0.74803149606299213" header="0.31496062992125984" footer="0.31496062992125984"/>
  <pageSetup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1EF70-AEB2-47CB-BE71-9AC53ED57423}">
  <dimension ref="A1:BF76"/>
  <sheetViews>
    <sheetView workbookViewId="0"/>
  </sheetViews>
  <sheetFormatPr defaultRowHeight="13.9"/>
  <cols>
    <col min="1" max="1" width="2.7109375" style="280" customWidth="1"/>
    <col min="2" max="2" width="4.28515625" style="283" customWidth="1"/>
    <col min="3" max="3" width="14.28515625" style="280" customWidth="1"/>
    <col min="4" max="4" width="16.5703125" style="280" customWidth="1"/>
    <col min="5" max="5" width="18.5703125" style="280" customWidth="1"/>
    <col min="6" max="6" width="15.28515625" style="280" bestFit="1" customWidth="1"/>
    <col min="7" max="7" width="0" style="280" hidden="1" customWidth="1"/>
    <col min="8" max="8" width="10.85546875" style="280" customWidth="1"/>
    <col min="9" max="9" width="14.28515625" style="280" customWidth="1"/>
    <col min="10" max="10" width="11" style="280" customWidth="1"/>
    <col min="11" max="11" width="10" style="280" customWidth="1"/>
    <col min="12" max="12" width="11.140625" style="280" customWidth="1"/>
    <col min="13" max="13" width="13.42578125" style="280" customWidth="1"/>
    <col min="14" max="14" width="11.7109375" style="280" customWidth="1"/>
    <col min="15" max="15" width="10.7109375" style="280" bestFit="1" customWidth="1"/>
    <col min="16" max="16" width="12.28515625" style="280" customWidth="1"/>
    <col min="17" max="17" width="9.28515625" style="280" bestFit="1" customWidth="1"/>
    <col min="18" max="18" width="12.7109375" style="280" bestFit="1" customWidth="1"/>
    <col min="19" max="19" width="9.28515625" style="280" customWidth="1"/>
    <col min="20" max="20" width="9.85546875" style="280" customWidth="1"/>
    <col min="21" max="22" width="9.28515625" style="280" customWidth="1"/>
    <col min="23" max="23" width="12.7109375" style="280" customWidth="1"/>
    <col min="24" max="24" width="10.7109375" style="280" customWidth="1"/>
    <col min="25" max="25" width="9.85546875" style="280" customWidth="1"/>
    <col min="26" max="27" width="9.28515625" style="280" customWidth="1"/>
    <col min="28" max="28" width="13.42578125" style="280" bestFit="1" customWidth="1"/>
    <col min="29" max="29" width="14.42578125" style="280" bestFit="1" customWidth="1"/>
    <col min="30" max="30" width="15.7109375" style="280" bestFit="1" customWidth="1"/>
    <col min="31" max="31" width="12.5703125" style="280" bestFit="1" customWidth="1"/>
    <col min="32" max="33" width="11.28515625" style="280" customWidth="1"/>
    <col min="34" max="34" width="14.5703125" style="280" bestFit="1" customWidth="1"/>
    <col min="35" max="37" width="11.28515625" style="280" customWidth="1"/>
    <col min="38" max="38" width="44.7109375" style="280" bestFit="1" customWidth="1"/>
    <col min="39" max="39" width="10.7109375" style="280" customWidth="1"/>
    <col min="40" max="40" width="9.7109375" style="280" customWidth="1"/>
    <col min="41" max="41" width="16" style="280" bestFit="1" customWidth="1"/>
    <col min="42" max="42" width="15.28515625" style="280" bestFit="1" customWidth="1"/>
    <col min="43" max="43" width="15.5703125" style="280" bestFit="1" customWidth="1"/>
    <col min="44" max="44" width="17" style="280" bestFit="1" customWidth="1"/>
    <col min="45" max="45" width="14" style="280" bestFit="1" customWidth="1"/>
    <col min="46" max="46" width="13.28515625" style="280" bestFit="1" customWidth="1"/>
    <col min="47" max="47" width="17" style="280" bestFit="1" customWidth="1"/>
    <col min="48" max="48" width="17.5703125" style="280" customWidth="1"/>
    <col min="49" max="49" width="13.7109375" style="280" bestFit="1" customWidth="1"/>
    <col min="50" max="51" width="12.5703125" style="280" bestFit="1" customWidth="1"/>
    <col min="52" max="52" width="14.28515625" style="280" customWidth="1"/>
    <col min="53" max="53" width="12" style="280" customWidth="1"/>
    <col min="54" max="54" width="13" style="280" customWidth="1"/>
    <col min="55" max="56" width="9.28515625" style="280" bestFit="1" customWidth="1"/>
    <col min="57" max="57" width="12.7109375" style="280" customWidth="1"/>
    <col min="58" max="16384" width="9.140625" style="280"/>
  </cols>
  <sheetData>
    <row r="1" spans="1:52" ht="23.25">
      <c r="B1" s="485" t="s">
        <v>397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 s="485"/>
      <c r="AV1" s="284"/>
      <c r="AW1" s="284"/>
      <c r="AX1" s="284"/>
      <c r="AY1" s="284"/>
      <c r="AZ1" s="284"/>
    </row>
    <row r="2" spans="1:52" ht="23.25">
      <c r="B2" s="485" t="s">
        <v>773</v>
      </c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284"/>
      <c r="AW2" s="284"/>
      <c r="AX2" s="284"/>
      <c r="AY2" s="284"/>
      <c r="AZ2" s="284"/>
    </row>
    <row r="3" spans="1:52" ht="12.75">
      <c r="A3" s="283"/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6"/>
      <c r="AE3" s="486"/>
      <c r="AF3" s="486"/>
      <c r="AG3" s="486"/>
      <c r="AH3" s="486"/>
      <c r="AI3" s="486"/>
      <c r="AJ3" s="486"/>
      <c r="AK3" s="486"/>
      <c r="AL3" s="486"/>
      <c r="AM3" s="486"/>
      <c r="AN3" s="486"/>
      <c r="AO3" s="486"/>
      <c r="AP3" s="486"/>
      <c r="AQ3" s="486"/>
      <c r="AR3" s="486"/>
      <c r="AS3" s="486"/>
      <c r="AT3" s="486"/>
      <c r="AU3" s="486"/>
      <c r="AV3" s="284"/>
      <c r="AW3" s="284"/>
      <c r="AX3" s="284"/>
      <c r="AY3" s="284"/>
      <c r="AZ3" s="284"/>
    </row>
    <row r="4" spans="1:52" ht="12.75">
      <c r="B4" s="286"/>
      <c r="AT4" s="287"/>
    </row>
    <row r="5" spans="1:52" ht="12.75">
      <c r="B5" s="286"/>
      <c r="AT5" s="287"/>
    </row>
    <row r="6" spans="1:52" ht="12.75" customHeight="1">
      <c r="B6" s="286"/>
      <c r="C6" s="487" t="s">
        <v>399</v>
      </c>
      <c r="D6" s="488"/>
      <c r="E6" s="488"/>
      <c r="F6" s="489"/>
      <c r="AT6" s="287"/>
    </row>
    <row r="7" spans="1:52" ht="12.75" customHeight="1">
      <c r="B7" s="286"/>
      <c r="C7" s="280" t="s">
        <v>400</v>
      </c>
      <c r="D7" s="280" t="s">
        <v>400</v>
      </c>
      <c r="H7" s="490" t="s">
        <v>401</v>
      </c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2"/>
      <c r="W7" s="490" t="s">
        <v>402</v>
      </c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2"/>
      <c r="AT7" s="287"/>
    </row>
    <row r="8" spans="1:52" ht="27">
      <c r="B8" s="289" t="s">
        <v>403</v>
      </c>
      <c r="C8" s="290" t="s">
        <v>404</v>
      </c>
      <c r="D8" s="290" t="s">
        <v>405</v>
      </c>
      <c r="E8" s="290" t="s">
        <v>406</v>
      </c>
      <c r="F8" s="290" t="s">
        <v>407</v>
      </c>
      <c r="G8" s="290" t="s">
        <v>408</v>
      </c>
      <c r="H8" s="290" t="s">
        <v>409</v>
      </c>
      <c r="I8" s="290" t="s">
        <v>410</v>
      </c>
      <c r="J8" s="290" t="s">
        <v>411</v>
      </c>
      <c r="K8" s="290" t="s">
        <v>412</v>
      </c>
      <c r="L8" s="290" t="s">
        <v>413</v>
      </c>
      <c r="M8" s="290" t="s">
        <v>409</v>
      </c>
      <c r="N8" s="290" t="s">
        <v>410</v>
      </c>
      <c r="O8" s="290" t="s">
        <v>411</v>
      </c>
      <c r="P8" s="290" t="s">
        <v>412</v>
      </c>
      <c r="Q8" s="290" t="s">
        <v>413</v>
      </c>
      <c r="R8" s="290" t="s">
        <v>409</v>
      </c>
      <c r="S8" s="290" t="s">
        <v>410</v>
      </c>
      <c r="T8" s="290" t="s">
        <v>411</v>
      </c>
      <c r="U8" s="290" t="s">
        <v>412</v>
      </c>
      <c r="V8" s="290" t="s">
        <v>413</v>
      </c>
      <c r="W8" s="290" t="s">
        <v>409</v>
      </c>
      <c r="X8" s="290" t="s">
        <v>410</v>
      </c>
      <c r="Y8" s="290" t="s">
        <v>411</v>
      </c>
      <c r="Z8" s="290" t="s">
        <v>412</v>
      </c>
      <c r="AA8" s="290" t="s">
        <v>413</v>
      </c>
      <c r="AB8" s="290" t="s">
        <v>409</v>
      </c>
      <c r="AC8" s="290" t="s">
        <v>410</v>
      </c>
      <c r="AD8" s="290" t="s">
        <v>411</v>
      </c>
      <c r="AE8" s="290" t="s">
        <v>412</v>
      </c>
      <c r="AF8" s="290" t="s">
        <v>413</v>
      </c>
      <c r="AG8" s="290" t="s">
        <v>409</v>
      </c>
      <c r="AH8" s="290" t="s">
        <v>410</v>
      </c>
      <c r="AI8" s="290" t="s">
        <v>411</v>
      </c>
      <c r="AJ8" s="290" t="s">
        <v>412</v>
      </c>
      <c r="AK8" s="290" t="s">
        <v>413</v>
      </c>
      <c r="AL8" s="290" t="s">
        <v>414</v>
      </c>
      <c r="AM8" s="290" t="s">
        <v>415</v>
      </c>
      <c r="AN8" s="290" t="s">
        <v>416</v>
      </c>
      <c r="AO8" s="290" t="s">
        <v>417</v>
      </c>
      <c r="AP8" s="290" t="s">
        <v>418</v>
      </c>
      <c r="AQ8" s="290" t="s">
        <v>419</v>
      </c>
      <c r="AR8" s="290" t="s">
        <v>70</v>
      </c>
      <c r="AS8" s="290" t="s">
        <v>420</v>
      </c>
      <c r="AT8" s="290" t="s">
        <v>418</v>
      </c>
      <c r="AU8" s="291" t="s">
        <v>70</v>
      </c>
    </row>
    <row r="9" spans="1:52" s="281" customFormat="1" ht="12.75" customHeight="1">
      <c r="B9" s="292">
        <v>3</v>
      </c>
      <c r="C9" s="293"/>
      <c r="D9" s="294"/>
      <c r="E9" s="294"/>
      <c r="F9" s="295" t="s">
        <v>421</v>
      </c>
      <c r="G9" s="296" t="s">
        <v>639</v>
      </c>
      <c r="H9" s="392"/>
      <c r="I9" s="392"/>
      <c r="J9" s="392"/>
      <c r="K9" s="392"/>
      <c r="L9" s="392"/>
      <c r="M9" s="298">
        <v>46404</v>
      </c>
      <c r="N9" s="299" t="s">
        <v>423</v>
      </c>
      <c r="O9" s="299" t="s">
        <v>424</v>
      </c>
      <c r="P9" s="300">
        <v>0.8</v>
      </c>
      <c r="Q9" s="300">
        <v>0.85069444444444442</v>
      </c>
      <c r="R9" s="301">
        <v>46405</v>
      </c>
      <c r="S9" s="302" t="s">
        <v>640</v>
      </c>
      <c r="T9" s="303" t="s">
        <v>641</v>
      </c>
      <c r="U9" s="302">
        <v>0.36805555555555558</v>
      </c>
      <c r="V9" s="302">
        <v>0.65069444444444446</v>
      </c>
      <c r="W9" s="304">
        <v>46408</v>
      </c>
      <c r="X9" s="305" t="s">
        <v>642</v>
      </c>
      <c r="Y9" s="305" t="s">
        <v>643</v>
      </c>
      <c r="Z9" s="305">
        <v>0.70277777777777772</v>
      </c>
      <c r="AA9" s="305">
        <v>0.82986111111111116</v>
      </c>
      <c r="AB9" s="322">
        <v>46409</v>
      </c>
      <c r="AC9" s="411" t="s">
        <v>644</v>
      </c>
      <c r="AD9" s="411" t="s">
        <v>430</v>
      </c>
      <c r="AE9" s="308">
        <v>0.38541666666666669</v>
      </c>
      <c r="AF9" s="308">
        <v>0.43680555555555556</v>
      </c>
      <c r="AG9" s="308"/>
      <c r="AH9" s="308"/>
      <c r="AI9" s="308"/>
      <c r="AJ9" s="308"/>
      <c r="AK9" s="308"/>
      <c r="AL9" s="309" t="s">
        <v>636</v>
      </c>
      <c r="AM9" s="310"/>
      <c r="AN9" s="310"/>
      <c r="AO9" s="309">
        <f>17225*B9</f>
        <v>51675</v>
      </c>
      <c r="AP9" s="309">
        <f>689*B9</f>
        <v>2067</v>
      </c>
      <c r="AQ9" s="309">
        <f>SUM(3563+2050)*B9</f>
        <v>16839</v>
      </c>
      <c r="AR9" s="309">
        <f>AO9+AP9+AQ9</f>
        <v>70581</v>
      </c>
      <c r="AS9" s="309">
        <f>230*B9</f>
        <v>690</v>
      </c>
      <c r="AT9" s="309">
        <f>AS9*16%</f>
        <v>110.4</v>
      </c>
      <c r="AU9" s="311">
        <f>AR9+AS9+AT9</f>
        <v>71381.399999999994</v>
      </c>
    </row>
    <row r="10" spans="1:52" s="281" customFormat="1" ht="12.75" customHeight="1">
      <c r="B10" s="292">
        <v>3</v>
      </c>
      <c r="C10" s="293"/>
      <c r="D10" s="294"/>
      <c r="E10" s="294"/>
      <c r="F10" s="312" t="s">
        <v>432</v>
      </c>
      <c r="G10" s="296"/>
      <c r="H10" s="392"/>
      <c r="I10" s="392"/>
      <c r="J10" s="392"/>
      <c r="K10" s="392"/>
      <c r="L10" s="392"/>
      <c r="M10" s="298">
        <v>46404</v>
      </c>
      <c r="N10" s="303" t="s">
        <v>645</v>
      </c>
      <c r="O10" s="303" t="s">
        <v>434</v>
      </c>
      <c r="P10" s="302">
        <v>0.7055555555555556</v>
      </c>
      <c r="Q10" s="302">
        <v>0.76041666666666663</v>
      </c>
      <c r="R10" s="301">
        <v>46405</v>
      </c>
      <c r="S10" s="302" t="s">
        <v>640</v>
      </c>
      <c r="T10" s="303" t="s">
        <v>641</v>
      </c>
      <c r="U10" s="302">
        <v>0.36805555555555558</v>
      </c>
      <c r="V10" s="302">
        <v>0.65069444444444446</v>
      </c>
      <c r="W10" s="304">
        <v>46408</v>
      </c>
      <c r="X10" s="305" t="s">
        <v>642</v>
      </c>
      <c r="Y10" s="305" t="s">
        <v>643</v>
      </c>
      <c r="Z10" s="305">
        <v>0.70277777777777772</v>
      </c>
      <c r="AA10" s="305">
        <v>0.82986111111111116</v>
      </c>
      <c r="AB10" s="322">
        <v>46409</v>
      </c>
      <c r="AC10" s="314" t="s">
        <v>646</v>
      </c>
      <c r="AD10" s="314" t="s">
        <v>647</v>
      </c>
      <c r="AE10" s="305">
        <v>0.31944444444444442</v>
      </c>
      <c r="AF10" s="305">
        <v>0.37291666666666667</v>
      </c>
      <c r="AG10" s="305"/>
      <c r="AH10" s="305"/>
      <c r="AI10" s="305"/>
      <c r="AJ10" s="305"/>
      <c r="AK10" s="305"/>
      <c r="AL10" s="309" t="s">
        <v>636</v>
      </c>
      <c r="AM10" s="315"/>
      <c r="AN10" s="316"/>
      <c r="AO10" s="309">
        <f>17225*B10</f>
        <v>51675</v>
      </c>
      <c r="AP10" s="309">
        <f>689*B10</f>
        <v>2067</v>
      </c>
      <c r="AQ10" s="309">
        <f>SUM(3872+2050)*B10</f>
        <v>17766</v>
      </c>
      <c r="AR10" s="309">
        <f>AO10+AP10+AQ10</f>
        <v>71508</v>
      </c>
      <c r="AS10" s="309">
        <f>230*B10</f>
        <v>690</v>
      </c>
      <c r="AT10" s="309">
        <f>AS10*16%</f>
        <v>110.4</v>
      </c>
      <c r="AU10" s="311">
        <f>AR10+AS10+AT10</f>
        <v>72308.399999999994</v>
      </c>
    </row>
    <row r="11" spans="1:52" s="281" customFormat="1" ht="12.75" customHeight="1">
      <c r="B11" s="292">
        <v>4</v>
      </c>
      <c r="C11" s="293"/>
      <c r="D11" s="294"/>
      <c r="E11" s="294"/>
      <c r="F11" s="312" t="s">
        <v>438</v>
      </c>
      <c r="G11" s="412"/>
      <c r="H11" s="413"/>
      <c r="I11" s="413"/>
      <c r="J11" s="413"/>
      <c r="K11" s="413"/>
      <c r="L11" s="413"/>
      <c r="M11" s="298">
        <v>46404</v>
      </c>
      <c r="N11" s="303" t="s">
        <v>648</v>
      </c>
      <c r="O11" s="303" t="s">
        <v>649</v>
      </c>
      <c r="P11" s="302">
        <v>0.74236111111111114</v>
      </c>
      <c r="Q11" s="302">
        <v>0.79166666666666663</v>
      </c>
      <c r="R11" s="301">
        <v>46405</v>
      </c>
      <c r="S11" s="302" t="s">
        <v>640</v>
      </c>
      <c r="T11" s="303" t="s">
        <v>641</v>
      </c>
      <c r="U11" s="302">
        <v>0.36805555555555558</v>
      </c>
      <c r="V11" s="302">
        <v>0.65069444444444446</v>
      </c>
      <c r="W11" s="304">
        <v>46408</v>
      </c>
      <c r="X11" s="305" t="s">
        <v>642</v>
      </c>
      <c r="Y11" s="305" t="s">
        <v>643</v>
      </c>
      <c r="Z11" s="305">
        <v>0.70277777777777772</v>
      </c>
      <c r="AA11" s="305">
        <v>0.82986111111111116</v>
      </c>
      <c r="AB11" s="322">
        <v>46409</v>
      </c>
      <c r="AC11" s="314" t="s">
        <v>650</v>
      </c>
      <c r="AD11" s="314" t="s">
        <v>651</v>
      </c>
      <c r="AE11" s="305">
        <v>0.3298611111111111</v>
      </c>
      <c r="AF11" s="305">
        <v>0.37847222222222221</v>
      </c>
      <c r="AG11" s="305"/>
      <c r="AH11" s="305"/>
      <c r="AI11" s="305"/>
      <c r="AJ11" s="305"/>
      <c r="AK11" s="305"/>
      <c r="AL11" s="309" t="s">
        <v>636</v>
      </c>
      <c r="AM11" s="315"/>
      <c r="AN11" s="316"/>
      <c r="AO11" s="309">
        <f>14450*B11</f>
        <v>57800</v>
      </c>
      <c r="AP11" s="309">
        <f>578*B11</f>
        <v>2312</v>
      </c>
      <c r="AQ11" s="309">
        <f>SUM(3919+2050)*B11</f>
        <v>23876</v>
      </c>
      <c r="AR11" s="309">
        <f>AO11+AP11+AQ11</f>
        <v>83988</v>
      </c>
      <c r="AS11" s="309">
        <f>230*B11</f>
        <v>920</v>
      </c>
      <c r="AT11" s="309">
        <f>AS11*16%</f>
        <v>147.20000000000002</v>
      </c>
      <c r="AU11" s="311">
        <f>AR11+AS11+AT11</f>
        <v>85055.2</v>
      </c>
    </row>
    <row r="12" spans="1:52" s="281" customFormat="1" ht="12.75" customHeight="1">
      <c r="B12" s="292">
        <v>7</v>
      </c>
      <c r="C12" s="293"/>
      <c r="D12" s="294"/>
      <c r="E12" s="294"/>
      <c r="F12" s="312" t="s">
        <v>445</v>
      </c>
      <c r="G12" s="296"/>
      <c r="H12" s="392"/>
      <c r="I12" s="392"/>
      <c r="J12" s="392"/>
      <c r="K12" s="392"/>
      <c r="L12" s="392"/>
      <c r="M12" s="298">
        <v>46404</v>
      </c>
      <c r="N12" s="303" t="s">
        <v>652</v>
      </c>
      <c r="O12" s="303" t="s">
        <v>653</v>
      </c>
      <c r="P12" s="302">
        <v>0.77500000000000002</v>
      </c>
      <c r="Q12" s="302">
        <v>0.875</v>
      </c>
      <c r="R12" s="301">
        <v>46405</v>
      </c>
      <c r="S12" s="302" t="s">
        <v>640</v>
      </c>
      <c r="T12" s="303" t="s">
        <v>641</v>
      </c>
      <c r="U12" s="302">
        <v>0.36805555555555558</v>
      </c>
      <c r="V12" s="302">
        <v>0.65069444444444446</v>
      </c>
      <c r="W12" s="304">
        <v>46408</v>
      </c>
      <c r="X12" s="305" t="s">
        <v>642</v>
      </c>
      <c r="Y12" s="305" t="s">
        <v>643</v>
      </c>
      <c r="Z12" s="305">
        <v>0.70277777777777772</v>
      </c>
      <c r="AA12" s="305">
        <v>0.82986111111111116</v>
      </c>
      <c r="AB12" s="322">
        <v>46409</v>
      </c>
      <c r="AC12" s="314" t="s">
        <v>654</v>
      </c>
      <c r="AD12" s="314" t="s">
        <v>450</v>
      </c>
      <c r="AE12" s="305">
        <v>0.41319444444444442</v>
      </c>
      <c r="AF12" s="305">
        <v>0.51875000000000004</v>
      </c>
      <c r="AG12" s="305"/>
      <c r="AH12" s="305"/>
      <c r="AI12" s="305"/>
      <c r="AJ12" s="305"/>
      <c r="AK12" s="305"/>
      <c r="AL12" s="309" t="s">
        <v>636</v>
      </c>
      <c r="AM12" s="315"/>
      <c r="AN12" s="316"/>
      <c r="AO12" s="309">
        <f>15386*B12</f>
        <v>107702</v>
      </c>
      <c r="AP12" s="309">
        <f>616*B12</f>
        <v>4312</v>
      </c>
      <c r="AQ12" s="309">
        <f>SUM(4112+2050)*B12</f>
        <v>43134</v>
      </c>
      <c r="AR12" s="309">
        <f>AO12+AP12+AQ12</f>
        <v>155148</v>
      </c>
      <c r="AS12" s="309">
        <f>230*B12</f>
        <v>1610</v>
      </c>
      <c r="AT12" s="309">
        <f>AS12*16%</f>
        <v>257.60000000000002</v>
      </c>
      <c r="AU12" s="311">
        <f>AR12+AS12+AT12</f>
        <v>157015.6</v>
      </c>
    </row>
    <row r="13" spans="1:52" s="281" customFormat="1" ht="12.75" customHeight="1">
      <c r="B13" s="292">
        <v>70</v>
      </c>
      <c r="C13" s="293"/>
      <c r="D13" s="294"/>
      <c r="E13" s="294"/>
      <c r="F13" s="312" t="s">
        <v>452</v>
      </c>
      <c r="G13" s="296"/>
      <c r="H13" s="301"/>
      <c r="I13" s="301"/>
      <c r="J13" s="301"/>
      <c r="K13" s="301"/>
      <c r="L13" s="301"/>
      <c r="M13" s="301">
        <v>46405</v>
      </c>
      <c r="N13" s="303" t="s">
        <v>655</v>
      </c>
      <c r="O13" s="303" t="s">
        <v>656</v>
      </c>
      <c r="P13" s="302">
        <v>0.24652777777777779</v>
      </c>
      <c r="Q13" s="302">
        <v>0.44305555555555554</v>
      </c>
      <c r="R13" s="301">
        <v>46405</v>
      </c>
      <c r="S13" s="302" t="s">
        <v>657</v>
      </c>
      <c r="T13" s="303" t="s">
        <v>658</v>
      </c>
      <c r="U13" s="302">
        <v>0.47291666666666665</v>
      </c>
      <c r="V13" s="302">
        <v>0.62222222222222223</v>
      </c>
      <c r="W13" s="304">
        <v>46408</v>
      </c>
      <c r="X13" s="305" t="s">
        <v>659</v>
      </c>
      <c r="Y13" s="305" t="s">
        <v>660</v>
      </c>
      <c r="Z13" s="305">
        <v>0.52638888888888891</v>
      </c>
      <c r="AA13" s="305">
        <v>0.6020833333333333</v>
      </c>
      <c r="AB13" s="304">
        <v>46408</v>
      </c>
      <c r="AC13" s="314" t="s">
        <v>661</v>
      </c>
      <c r="AD13" s="314" t="s">
        <v>662</v>
      </c>
      <c r="AE13" s="305">
        <v>0.68402777777777779</v>
      </c>
      <c r="AF13" s="305">
        <v>0.80555555555555558</v>
      </c>
      <c r="AG13" s="305"/>
      <c r="AH13" s="305"/>
      <c r="AI13" s="305"/>
      <c r="AJ13" s="305"/>
      <c r="AK13" s="305"/>
      <c r="AL13" s="319" t="s">
        <v>663</v>
      </c>
      <c r="AM13" s="315"/>
      <c r="AN13" s="316"/>
      <c r="AO13" s="309">
        <f>15511*B13</f>
        <v>1085770</v>
      </c>
      <c r="AP13" s="309">
        <f>621*B13</f>
        <v>43470</v>
      </c>
      <c r="AQ13" s="309">
        <f>4975*B13</f>
        <v>348250</v>
      </c>
      <c r="AR13" s="309">
        <f>AO13+AP13+AQ13</f>
        <v>1477490</v>
      </c>
      <c r="AS13" s="309">
        <f>230*B13</f>
        <v>16100</v>
      </c>
      <c r="AT13" s="309">
        <f>AS13*16%</f>
        <v>2576</v>
      </c>
      <c r="AU13" s="311">
        <f>AR13+AS13+AT13</f>
        <v>1496166</v>
      </c>
    </row>
    <row r="14" spans="1:52" s="281" customFormat="1" ht="12.75" customHeight="1">
      <c r="B14" s="292">
        <v>70</v>
      </c>
      <c r="C14" s="293"/>
      <c r="D14" s="294"/>
      <c r="E14" s="294"/>
      <c r="F14" s="312" t="s">
        <v>452</v>
      </c>
      <c r="G14" s="296" t="s">
        <v>664</v>
      </c>
      <c r="H14" s="301"/>
      <c r="I14" s="301"/>
      <c r="J14" s="301"/>
      <c r="K14" s="301"/>
      <c r="L14" s="301"/>
      <c r="M14" s="301"/>
      <c r="N14" s="303"/>
      <c r="O14" s="303"/>
      <c r="P14" s="302"/>
      <c r="Q14" s="302"/>
      <c r="R14" s="301">
        <v>46405</v>
      </c>
      <c r="S14" s="302" t="s">
        <v>665</v>
      </c>
      <c r="T14" s="303" t="s">
        <v>666</v>
      </c>
      <c r="U14" s="302">
        <v>0.69861111111111107</v>
      </c>
      <c r="V14" s="302">
        <v>0.92638888888888893</v>
      </c>
      <c r="W14" s="304">
        <v>46408</v>
      </c>
      <c r="X14" s="305" t="s">
        <v>667</v>
      </c>
      <c r="Y14" s="305" t="s">
        <v>668</v>
      </c>
      <c r="Z14" s="305">
        <v>0.25</v>
      </c>
      <c r="AA14" s="305">
        <v>0.37916666666666665</v>
      </c>
      <c r="AB14" s="304"/>
      <c r="AC14" s="314"/>
      <c r="AD14" s="314"/>
      <c r="AE14" s="305"/>
      <c r="AF14" s="305"/>
      <c r="AG14" s="305"/>
      <c r="AH14" s="305"/>
      <c r="AI14" s="305"/>
      <c r="AJ14" s="305"/>
      <c r="AK14" s="305"/>
      <c r="AL14" s="319" t="s">
        <v>669</v>
      </c>
      <c r="AM14" s="315"/>
      <c r="AN14" s="316"/>
      <c r="AO14" s="320">
        <f>4800*B14</f>
        <v>336000</v>
      </c>
      <c r="AP14" s="309">
        <f>192*B14</f>
        <v>13440</v>
      </c>
      <c r="AQ14" s="309">
        <f>3576*B14</f>
        <v>250320</v>
      </c>
      <c r="AR14" s="309">
        <f>AO14+AP14+AQ14</f>
        <v>599760</v>
      </c>
      <c r="AS14" s="309">
        <f>230*B14</f>
        <v>16100</v>
      </c>
      <c r="AT14" s="309">
        <f>AS14*16%</f>
        <v>2576</v>
      </c>
      <c r="AU14" s="311">
        <f>AR14+AS14+AT14</f>
        <v>618436</v>
      </c>
    </row>
    <row r="15" spans="1:52" s="281" customFormat="1" ht="12.75" customHeight="1">
      <c r="B15" s="292">
        <v>5</v>
      </c>
      <c r="C15" s="293"/>
      <c r="D15" s="294"/>
      <c r="E15" s="294"/>
      <c r="F15" s="312" t="s">
        <v>458</v>
      </c>
      <c r="G15" s="296"/>
      <c r="H15" s="301"/>
      <c r="I15" s="301"/>
      <c r="J15" s="301"/>
      <c r="K15" s="301"/>
      <c r="L15" s="301"/>
      <c r="M15" s="298">
        <v>46404</v>
      </c>
      <c r="N15" s="303" t="s">
        <v>670</v>
      </c>
      <c r="O15" s="303" t="s">
        <v>671</v>
      </c>
      <c r="P15" s="302">
        <v>0.65763888888888888</v>
      </c>
      <c r="Q15" s="302">
        <v>0.8125</v>
      </c>
      <c r="R15" s="301">
        <v>46405</v>
      </c>
      <c r="S15" s="302" t="s">
        <v>640</v>
      </c>
      <c r="T15" s="303" t="s">
        <v>641</v>
      </c>
      <c r="U15" s="302">
        <v>0.36805555555555558</v>
      </c>
      <c r="V15" s="302">
        <v>0.65069444444444446</v>
      </c>
      <c r="W15" s="304">
        <v>46408</v>
      </c>
      <c r="X15" s="305" t="s">
        <v>642</v>
      </c>
      <c r="Y15" s="305" t="s">
        <v>643</v>
      </c>
      <c r="Z15" s="305">
        <v>0.70277777777777772</v>
      </c>
      <c r="AA15" s="305">
        <v>0.82986111111111116</v>
      </c>
      <c r="AB15" s="322">
        <v>46409</v>
      </c>
      <c r="AC15" s="314" t="s">
        <v>673</v>
      </c>
      <c r="AD15" s="305">
        <v>0.34027777777777779</v>
      </c>
      <c r="AE15" s="305">
        <v>0.41666666666666669</v>
      </c>
      <c r="AF15" s="305"/>
      <c r="AG15" s="305"/>
      <c r="AH15" s="305"/>
      <c r="AI15" s="305"/>
      <c r="AJ15" s="305"/>
      <c r="AK15" s="305"/>
      <c r="AL15" s="309" t="s">
        <v>636</v>
      </c>
      <c r="AM15" s="315"/>
      <c r="AN15" s="316"/>
      <c r="AO15" s="309">
        <f>18093*B15</f>
        <v>90465</v>
      </c>
      <c r="AP15" s="309">
        <f>724*B15</f>
        <v>3620</v>
      </c>
      <c r="AQ15" s="309">
        <f>SUM(3865+2050)*B15</f>
        <v>29575</v>
      </c>
      <c r="AR15" s="309">
        <f>AO15+AP15+AQ15</f>
        <v>123660</v>
      </c>
      <c r="AS15" s="309">
        <f>230*B15</f>
        <v>1150</v>
      </c>
      <c r="AT15" s="309">
        <f>AS15*16%</f>
        <v>184</v>
      </c>
      <c r="AU15" s="311">
        <f>AR15+AS15+AT15</f>
        <v>124994</v>
      </c>
    </row>
    <row r="16" spans="1:52" s="281" customFormat="1" ht="12.75" customHeight="1">
      <c r="B16" s="292">
        <v>2</v>
      </c>
      <c r="C16" s="293"/>
      <c r="D16" s="294"/>
      <c r="E16" s="294"/>
      <c r="F16" s="312" t="s">
        <v>463</v>
      </c>
      <c r="G16" s="296"/>
      <c r="H16" s="414"/>
      <c r="I16" s="303"/>
      <c r="J16" s="303"/>
      <c r="K16" s="302"/>
      <c r="L16" s="302"/>
      <c r="M16" s="301"/>
      <c r="N16" s="302"/>
      <c r="O16" s="303"/>
      <c r="P16" s="302"/>
      <c r="Q16" s="302"/>
      <c r="R16" s="301">
        <v>46405</v>
      </c>
      <c r="S16" s="302" t="s">
        <v>774</v>
      </c>
      <c r="T16" s="303" t="s">
        <v>675</v>
      </c>
      <c r="U16" s="302">
        <v>0.74791666666666667</v>
      </c>
      <c r="V16" s="302">
        <v>0.91736111111111107</v>
      </c>
      <c r="W16" s="304">
        <v>46408</v>
      </c>
      <c r="X16" s="305" t="s">
        <v>775</v>
      </c>
      <c r="Y16" s="305" t="s">
        <v>676</v>
      </c>
      <c r="Z16" s="305">
        <v>0.78055555555555556</v>
      </c>
      <c r="AA16" s="305">
        <v>0.88194444444444442</v>
      </c>
      <c r="AB16" s="305"/>
      <c r="AC16" s="305"/>
      <c r="AD16" s="305"/>
      <c r="AE16" s="305"/>
      <c r="AF16" s="305"/>
      <c r="AG16" s="309"/>
      <c r="AH16" s="315"/>
      <c r="AI16" s="316"/>
      <c r="AJ16" s="309"/>
      <c r="AK16" s="309"/>
      <c r="AL16" s="309" t="s">
        <v>669</v>
      </c>
      <c r="AM16" s="309"/>
      <c r="AN16" s="309"/>
      <c r="AO16" s="309">
        <f>8100*B16</f>
        <v>16200</v>
      </c>
      <c r="AP16" s="309">
        <f>324*B16</f>
        <v>648</v>
      </c>
      <c r="AQ16" s="309">
        <f>SUM(4147)*B16</f>
        <v>8294</v>
      </c>
      <c r="AR16" s="309">
        <f>AO16+AP16+AQ16</f>
        <v>25142</v>
      </c>
      <c r="AS16" s="309">
        <f>230*B16</f>
        <v>460</v>
      </c>
      <c r="AT16" s="309">
        <f>AS16*16%</f>
        <v>73.600000000000009</v>
      </c>
      <c r="AU16" s="311">
        <f>AR16+AS16+AT16</f>
        <v>25675.599999999999</v>
      </c>
    </row>
    <row r="17" spans="2:47" s="281" customFormat="1" ht="12.75" customHeight="1">
      <c r="B17" s="292">
        <v>1</v>
      </c>
      <c r="C17" s="293"/>
      <c r="D17" s="294"/>
      <c r="E17" s="294"/>
      <c r="F17" s="312" t="s">
        <v>465</v>
      </c>
      <c r="G17" s="296"/>
      <c r="H17" s="301"/>
      <c r="I17" s="301"/>
      <c r="J17" s="301"/>
      <c r="K17" s="301"/>
      <c r="L17" s="301"/>
      <c r="M17" s="298">
        <v>46404</v>
      </c>
      <c r="N17" s="303" t="s">
        <v>466</v>
      </c>
      <c r="O17" s="303" t="s">
        <v>467</v>
      </c>
      <c r="P17" s="302">
        <v>0.65486111111111112</v>
      </c>
      <c r="Q17" s="302">
        <v>0.76736111111111116</v>
      </c>
      <c r="R17" s="301">
        <v>46405</v>
      </c>
      <c r="S17" s="302" t="s">
        <v>640</v>
      </c>
      <c r="T17" s="303" t="s">
        <v>641</v>
      </c>
      <c r="U17" s="302">
        <v>0.36805555555555558</v>
      </c>
      <c r="V17" s="302">
        <v>0.65069444444444446</v>
      </c>
      <c r="W17" s="304">
        <v>46408</v>
      </c>
      <c r="X17" s="305" t="s">
        <v>642</v>
      </c>
      <c r="Y17" s="305" t="s">
        <v>643</v>
      </c>
      <c r="Z17" s="305">
        <v>0.70277777777777772</v>
      </c>
      <c r="AA17" s="305">
        <v>0.82986111111111116</v>
      </c>
      <c r="AB17" s="322">
        <v>46409</v>
      </c>
      <c r="AC17" s="314" t="s">
        <v>469</v>
      </c>
      <c r="AD17" s="314" t="s">
        <v>470</v>
      </c>
      <c r="AE17" s="305">
        <v>0.58680555555555558</v>
      </c>
      <c r="AF17" s="305">
        <v>0.61041666666666672</v>
      </c>
      <c r="AG17" s="304"/>
      <c r="AH17" s="305"/>
      <c r="AI17" s="305"/>
      <c r="AJ17" s="305"/>
      <c r="AK17" s="305"/>
      <c r="AL17" s="309" t="s">
        <v>636</v>
      </c>
      <c r="AM17" s="315"/>
      <c r="AN17" s="316"/>
      <c r="AO17" s="309">
        <f>SUM(17225)*B17</f>
        <v>17225</v>
      </c>
      <c r="AP17" s="309">
        <f>689*B17</f>
        <v>689</v>
      </c>
      <c r="AQ17" s="309">
        <f>SUM(4163+2050)*B17</f>
        <v>6213</v>
      </c>
      <c r="AR17" s="309">
        <f>AO17+AP17+AQ17</f>
        <v>24127</v>
      </c>
      <c r="AS17" s="309">
        <f>230*B17</f>
        <v>230</v>
      </c>
      <c r="AT17" s="309">
        <f>AS17*16%</f>
        <v>36.800000000000004</v>
      </c>
      <c r="AU17" s="311">
        <f>AR17+AS17+AT17</f>
        <v>24393.8</v>
      </c>
    </row>
    <row r="18" spans="2:47" s="281" customFormat="1" ht="12.75" customHeight="1">
      <c r="B18" s="292">
        <v>3</v>
      </c>
      <c r="C18" s="293"/>
      <c r="D18" s="294"/>
      <c r="E18" s="294"/>
      <c r="F18" s="312" t="s">
        <v>471</v>
      </c>
      <c r="G18" s="296" t="s">
        <v>677</v>
      </c>
      <c r="H18" s="301"/>
      <c r="I18" s="301"/>
      <c r="J18" s="301"/>
      <c r="K18" s="301"/>
      <c r="L18" s="301"/>
      <c r="M18" s="301">
        <v>46405</v>
      </c>
      <c r="N18" s="303" t="s">
        <v>472</v>
      </c>
      <c r="O18" s="303" t="s">
        <v>678</v>
      </c>
      <c r="P18" s="302">
        <v>0.13541666666666666</v>
      </c>
      <c r="Q18" s="302">
        <v>0.19791666666666666</v>
      </c>
      <c r="R18" s="301">
        <v>46405</v>
      </c>
      <c r="S18" s="302" t="s">
        <v>640</v>
      </c>
      <c r="T18" s="303" t="s">
        <v>641</v>
      </c>
      <c r="U18" s="302">
        <v>0.36805555555555558</v>
      </c>
      <c r="V18" s="302">
        <v>0.65069444444444446</v>
      </c>
      <c r="W18" s="304">
        <v>46408</v>
      </c>
      <c r="X18" s="305" t="s">
        <v>642</v>
      </c>
      <c r="Y18" s="305" t="s">
        <v>643</v>
      </c>
      <c r="Z18" s="305">
        <v>0.70277777777777772</v>
      </c>
      <c r="AA18" s="305">
        <v>0.82986111111111116</v>
      </c>
      <c r="AB18" s="322">
        <v>46409</v>
      </c>
      <c r="AC18" s="314" t="s">
        <v>472</v>
      </c>
      <c r="AD18" s="314" t="s">
        <v>679</v>
      </c>
      <c r="AE18" s="305">
        <v>0.33333333333333331</v>
      </c>
      <c r="AF18" s="305">
        <v>0.39583333333333331</v>
      </c>
      <c r="AG18" s="305"/>
      <c r="AH18" s="305"/>
      <c r="AI18" s="305"/>
      <c r="AJ18" s="305"/>
      <c r="AK18" s="305"/>
      <c r="AL18" s="319" t="s">
        <v>776</v>
      </c>
      <c r="AM18" s="315"/>
      <c r="AN18" s="316"/>
      <c r="AO18" s="309">
        <f>14160*B18</f>
        <v>42480</v>
      </c>
      <c r="AP18" s="309">
        <f>567*B18</f>
        <v>1701</v>
      </c>
      <c r="AQ18" s="309">
        <f>SUM(3997+2050+920)*B18</f>
        <v>20901</v>
      </c>
      <c r="AR18" s="309">
        <f>AO18+AP18+AQ18</f>
        <v>65082</v>
      </c>
      <c r="AS18" s="309">
        <f>230*B18</f>
        <v>690</v>
      </c>
      <c r="AT18" s="309">
        <f>AS18*16%</f>
        <v>110.4</v>
      </c>
      <c r="AU18" s="311">
        <f>AR18+AS18+AT18</f>
        <v>65882.399999999994</v>
      </c>
    </row>
    <row r="19" spans="2:47" s="281" customFormat="1" ht="12.75" customHeight="1">
      <c r="B19" s="292">
        <v>7</v>
      </c>
      <c r="C19" s="293"/>
      <c r="D19" s="294"/>
      <c r="E19" s="294"/>
      <c r="F19" s="312" t="s">
        <v>476</v>
      </c>
      <c r="G19" s="296"/>
      <c r="H19" s="301"/>
      <c r="I19" s="301"/>
      <c r="J19" s="301"/>
      <c r="K19" s="301"/>
      <c r="L19" s="301"/>
      <c r="M19" s="298">
        <v>46404</v>
      </c>
      <c r="N19" s="303" t="s">
        <v>681</v>
      </c>
      <c r="O19" s="303" t="s">
        <v>477</v>
      </c>
      <c r="P19" s="302">
        <v>0.59513888888888888</v>
      </c>
      <c r="Q19" s="302">
        <v>0.71875</v>
      </c>
      <c r="R19" s="301">
        <v>46405</v>
      </c>
      <c r="S19" s="302" t="s">
        <v>640</v>
      </c>
      <c r="T19" s="303" t="s">
        <v>641</v>
      </c>
      <c r="U19" s="302">
        <v>0.36805555555555558</v>
      </c>
      <c r="V19" s="302">
        <v>0.65069444444444446</v>
      </c>
      <c r="W19" s="304">
        <v>46408</v>
      </c>
      <c r="X19" s="305" t="s">
        <v>642</v>
      </c>
      <c r="Y19" s="305" t="s">
        <v>643</v>
      </c>
      <c r="Z19" s="305">
        <v>0.70277777777777772</v>
      </c>
      <c r="AA19" s="305">
        <v>0.82986111111111116</v>
      </c>
      <c r="AB19" s="322">
        <v>46409</v>
      </c>
      <c r="AC19" s="314" t="s">
        <v>682</v>
      </c>
      <c r="AD19" s="314" t="s">
        <v>481</v>
      </c>
      <c r="AE19" s="305">
        <v>0.25694444444444442</v>
      </c>
      <c r="AF19" s="305">
        <v>0.30694444444444446</v>
      </c>
      <c r="AG19" s="305"/>
      <c r="AH19" s="305"/>
      <c r="AI19" s="305"/>
      <c r="AJ19" s="305"/>
      <c r="AK19" s="305"/>
      <c r="AL19" s="309" t="s">
        <v>636</v>
      </c>
      <c r="AM19" s="315"/>
      <c r="AN19" s="316"/>
      <c r="AO19" s="320">
        <f>SUM(18416)*B19</f>
        <v>128912</v>
      </c>
      <c r="AP19" s="309">
        <f>737*B19</f>
        <v>5159</v>
      </c>
      <c r="AQ19" s="309">
        <f>SUM(4250+2050)*B19</f>
        <v>44100</v>
      </c>
      <c r="AR19" s="309">
        <f>AO19+AP19+AQ19</f>
        <v>178171</v>
      </c>
      <c r="AS19" s="309">
        <f>230*B19</f>
        <v>1610</v>
      </c>
      <c r="AT19" s="309">
        <f>AS19*16%</f>
        <v>257.60000000000002</v>
      </c>
      <c r="AU19" s="311">
        <f>AR19+AS19+AT19</f>
        <v>180038.6</v>
      </c>
    </row>
    <row r="20" spans="2:47" s="281" customFormat="1" ht="12.75" customHeight="1">
      <c r="B20" s="292">
        <v>1</v>
      </c>
      <c r="C20" s="293"/>
      <c r="D20" s="294"/>
      <c r="E20" s="294"/>
      <c r="F20" s="312" t="s">
        <v>483</v>
      </c>
      <c r="G20" s="296" t="s">
        <v>683</v>
      </c>
      <c r="H20" s="301"/>
      <c r="I20" s="301"/>
      <c r="J20" s="301"/>
      <c r="K20" s="301"/>
      <c r="L20" s="301"/>
      <c r="M20" s="298">
        <v>46404</v>
      </c>
      <c r="N20" s="303" t="s">
        <v>485</v>
      </c>
      <c r="O20" s="303" t="s">
        <v>486</v>
      </c>
      <c r="P20" s="302">
        <v>0.81805555555555554</v>
      </c>
      <c r="Q20" s="302">
        <v>0.95486111111111116</v>
      </c>
      <c r="R20" s="301">
        <v>46405</v>
      </c>
      <c r="S20" s="302" t="s">
        <v>640</v>
      </c>
      <c r="T20" s="303" t="s">
        <v>641</v>
      </c>
      <c r="U20" s="302">
        <v>0.36805555555555558</v>
      </c>
      <c r="V20" s="302">
        <v>0.65069444444444446</v>
      </c>
      <c r="W20" s="304">
        <v>46408</v>
      </c>
      <c r="X20" s="304" t="s">
        <v>642</v>
      </c>
      <c r="Y20" s="305" t="s">
        <v>643</v>
      </c>
      <c r="Z20" s="305">
        <v>0.70277777777777772</v>
      </c>
      <c r="AA20" s="305">
        <v>0.82986111111111116</v>
      </c>
      <c r="AB20" s="322">
        <v>46409</v>
      </c>
      <c r="AC20" s="314" t="s">
        <v>684</v>
      </c>
      <c r="AD20" s="314" t="s">
        <v>488</v>
      </c>
      <c r="AE20" s="305">
        <v>0.34375</v>
      </c>
      <c r="AF20" s="305">
        <v>0.40972222222222221</v>
      </c>
      <c r="AG20" s="305"/>
      <c r="AH20" s="305"/>
      <c r="AI20" s="305"/>
      <c r="AJ20" s="305"/>
      <c r="AK20" s="305"/>
      <c r="AL20" s="309" t="s">
        <v>636</v>
      </c>
      <c r="AM20" s="315"/>
      <c r="AN20" s="316"/>
      <c r="AO20" s="309">
        <f>16714*B20</f>
        <v>16714</v>
      </c>
      <c r="AP20" s="309">
        <f>670*B20</f>
        <v>670</v>
      </c>
      <c r="AQ20" s="309">
        <f>SUM(3460+2050)*B20</f>
        <v>5510</v>
      </c>
      <c r="AR20" s="309">
        <f>AO20+AP20+AQ20</f>
        <v>22894</v>
      </c>
      <c r="AS20" s="309">
        <f>230*B20</f>
        <v>230</v>
      </c>
      <c r="AT20" s="309">
        <f>AS20*16%</f>
        <v>36.800000000000004</v>
      </c>
      <c r="AU20" s="311">
        <f>AR20+AS20+AT20</f>
        <v>23160.799999999999</v>
      </c>
    </row>
    <row r="21" spans="2:47" s="281" customFormat="1" ht="12.75" customHeight="1">
      <c r="B21" s="292">
        <v>1</v>
      </c>
      <c r="C21" s="293"/>
      <c r="D21" s="294"/>
      <c r="E21" s="294"/>
      <c r="F21" s="312" t="s">
        <v>489</v>
      </c>
      <c r="G21" s="296" t="s">
        <v>777</v>
      </c>
      <c r="H21" s="301"/>
      <c r="I21" s="301"/>
      <c r="J21" s="301"/>
      <c r="K21" s="301"/>
      <c r="L21" s="301"/>
      <c r="M21" s="298">
        <v>46404</v>
      </c>
      <c r="N21" s="303" t="s">
        <v>491</v>
      </c>
      <c r="O21" s="303" t="s">
        <v>492</v>
      </c>
      <c r="P21" s="302">
        <v>0.7319444444444444</v>
      </c>
      <c r="Q21" s="302">
        <v>0.84375</v>
      </c>
      <c r="R21" s="301">
        <v>46405</v>
      </c>
      <c r="S21" s="302" t="s">
        <v>640</v>
      </c>
      <c r="T21" s="303" t="s">
        <v>641</v>
      </c>
      <c r="U21" s="302">
        <v>0.36805555555555558</v>
      </c>
      <c r="V21" s="302">
        <v>0.65069444444444446</v>
      </c>
      <c r="W21" s="304">
        <v>46408</v>
      </c>
      <c r="X21" s="304" t="s">
        <v>642</v>
      </c>
      <c r="Y21" s="305" t="s">
        <v>643</v>
      </c>
      <c r="Z21" s="305">
        <v>0.70277777777777772</v>
      </c>
      <c r="AA21" s="305">
        <v>0.82986111111111116</v>
      </c>
      <c r="AB21" s="322">
        <v>46409</v>
      </c>
      <c r="AC21" s="314" t="s">
        <v>686</v>
      </c>
      <c r="AD21" s="314" t="s">
        <v>495</v>
      </c>
      <c r="AE21" s="305">
        <v>0.2986111111111111</v>
      </c>
      <c r="AF21" s="305">
        <v>0.33888888888888891</v>
      </c>
      <c r="AG21" s="305"/>
      <c r="AH21" s="305"/>
      <c r="AI21" s="305"/>
      <c r="AJ21" s="305"/>
      <c r="AK21" s="305"/>
      <c r="AL21" s="309" t="s">
        <v>636</v>
      </c>
      <c r="AM21" s="315"/>
      <c r="AN21" s="316"/>
      <c r="AO21" s="309">
        <f>16999*B21</f>
        <v>16999</v>
      </c>
      <c r="AP21" s="309">
        <f>680*B21</f>
        <v>680</v>
      </c>
      <c r="AQ21" s="309">
        <f>SUM(4380+2050)*B21</f>
        <v>6430</v>
      </c>
      <c r="AR21" s="309">
        <f>AO21+AP21+AQ21</f>
        <v>24109</v>
      </c>
      <c r="AS21" s="309">
        <f>230*B21</f>
        <v>230</v>
      </c>
      <c r="AT21" s="309">
        <f>AS21*16%</f>
        <v>36.800000000000004</v>
      </c>
      <c r="AU21" s="311">
        <f>AR21+AS21+AT21</f>
        <v>24375.8</v>
      </c>
    </row>
    <row r="22" spans="2:47" s="281" customFormat="1" ht="12.75" customHeight="1">
      <c r="B22" s="292">
        <v>1</v>
      </c>
      <c r="C22" s="293"/>
      <c r="D22" s="294"/>
      <c r="E22" s="294"/>
      <c r="F22" s="312" t="s">
        <v>496</v>
      </c>
      <c r="G22" s="296" t="s">
        <v>687</v>
      </c>
      <c r="H22" s="298">
        <v>46404</v>
      </c>
      <c r="I22" s="303" t="s">
        <v>497</v>
      </c>
      <c r="J22" s="303" t="s">
        <v>688</v>
      </c>
      <c r="K22" s="300">
        <v>0.41666666666666669</v>
      </c>
      <c r="L22" s="300">
        <v>0.58333333333333337</v>
      </c>
      <c r="M22" s="298">
        <v>46404</v>
      </c>
      <c r="N22" s="303" t="s">
        <v>689</v>
      </c>
      <c r="O22" s="303" t="s">
        <v>500</v>
      </c>
      <c r="P22" s="302">
        <v>0.73263888888888884</v>
      </c>
      <c r="Q22" s="302">
        <v>0.80555555555555558</v>
      </c>
      <c r="R22" s="301">
        <v>46405</v>
      </c>
      <c r="S22" s="302" t="s">
        <v>640</v>
      </c>
      <c r="T22" s="303" t="s">
        <v>641</v>
      </c>
      <c r="U22" s="302">
        <v>0.36805555555555558</v>
      </c>
      <c r="V22" s="302">
        <v>0.65069444444444446</v>
      </c>
      <c r="W22" s="304">
        <v>46408</v>
      </c>
      <c r="X22" s="305" t="s">
        <v>642</v>
      </c>
      <c r="Y22" s="305" t="s">
        <v>643</v>
      </c>
      <c r="Z22" s="305">
        <v>0.70277777777777772</v>
      </c>
      <c r="AA22" s="305">
        <v>0.82986111111111116</v>
      </c>
      <c r="AB22" s="322">
        <v>46409</v>
      </c>
      <c r="AC22" s="314" t="s">
        <v>690</v>
      </c>
      <c r="AD22" s="314" t="s">
        <v>502</v>
      </c>
      <c r="AE22" s="305">
        <v>0.31944444444444442</v>
      </c>
      <c r="AF22" s="305">
        <v>0.39583333333333331</v>
      </c>
      <c r="AG22" s="322">
        <v>46409</v>
      </c>
      <c r="AH22" s="305" t="s">
        <v>497</v>
      </c>
      <c r="AI22" s="305" t="s">
        <v>778</v>
      </c>
      <c r="AJ22" s="305">
        <v>0.54166666666666663</v>
      </c>
      <c r="AK22" s="305">
        <v>0.66874999999999996</v>
      </c>
      <c r="AL22" s="319" t="s">
        <v>779</v>
      </c>
      <c r="AM22" s="315"/>
      <c r="AN22" s="316"/>
      <c r="AO22" s="320">
        <f>SUM(17225)*B22</f>
        <v>17225</v>
      </c>
      <c r="AP22" s="309">
        <f>689*B22</f>
        <v>689</v>
      </c>
      <c r="AQ22" s="309">
        <f>SUM(4134+2050+678)*B22</f>
        <v>6862</v>
      </c>
      <c r="AR22" s="309">
        <f>AO22+AP22+AQ22</f>
        <v>24776</v>
      </c>
      <c r="AS22" s="309">
        <f>230*B22</f>
        <v>230</v>
      </c>
      <c r="AT22" s="309">
        <f>AS22*16%</f>
        <v>36.800000000000004</v>
      </c>
      <c r="AU22" s="311">
        <f>AR22+AS22+AT22</f>
        <v>25042.799999999999</v>
      </c>
    </row>
    <row r="23" spans="2:47" s="281" customFormat="1" ht="12.75" customHeight="1">
      <c r="B23" s="292">
        <f>35+6</f>
        <v>41</v>
      </c>
      <c r="C23" s="293"/>
      <c r="D23" s="294"/>
      <c r="E23" s="294"/>
      <c r="F23" s="312" t="s">
        <v>505</v>
      </c>
      <c r="G23" s="296" t="s">
        <v>693</v>
      </c>
      <c r="H23" s="301"/>
      <c r="I23" s="301"/>
      <c r="J23" s="301"/>
      <c r="K23" s="301"/>
      <c r="L23" s="301"/>
      <c r="M23" s="301"/>
      <c r="N23" s="303"/>
      <c r="O23" s="303"/>
      <c r="P23" s="302"/>
      <c r="Q23" s="302"/>
      <c r="R23" s="301">
        <v>46405</v>
      </c>
      <c r="S23" s="302" t="s">
        <v>665</v>
      </c>
      <c r="T23" s="303" t="s">
        <v>666</v>
      </c>
      <c r="U23" s="302">
        <v>0.69861111111111107</v>
      </c>
      <c r="V23" s="302">
        <v>0.92638888888888893</v>
      </c>
      <c r="W23" s="304">
        <v>46408</v>
      </c>
      <c r="X23" s="305" t="s">
        <v>667</v>
      </c>
      <c r="Y23" s="305" t="s">
        <v>668</v>
      </c>
      <c r="Z23" s="305">
        <v>0.25</v>
      </c>
      <c r="AA23" s="305">
        <v>0.37916666666666665</v>
      </c>
      <c r="AB23" s="304"/>
      <c r="AC23" s="314"/>
      <c r="AD23" s="314"/>
      <c r="AE23" s="305"/>
      <c r="AF23" s="305"/>
      <c r="AG23" s="305"/>
      <c r="AH23" s="305"/>
      <c r="AI23" s="305"/>
      <c r="AJ23" s="305"/>
      <c r="AK23" s="305"/>
      <c r="AL23" s="319" t="s">
        <v>669</v>
      </c>
      <c r="AM23" s="315"/>
      <c r="AN23" s="316"/>
      <c r="AO23" s="320">
        <f>4800*B23</f>
        <v>196800</v>
      </c>
      <c r="AP23" s="309">
        <f>192*B23</f>
        <v>7872</v>
      </c>
      <c r="AQ23" s="309">
        <f>3576*B23</f>
        <v>146616</v>
      </c>
      <c r="AR23" s="309">
        <f>AO23+AP23+AQ23</f>
        <v>351288</v>
      </c>
      <c r="AS23" s="309">
        <f>230*B23</f>
        <v>9430</v>
      </c>
      <c r="AT23" s="309">
        <f>AS23*16%</f>
        <v>1508.8</v>
      </c>
      <c r="AU23" s="311">
        <f>AR23+AS23+AT23</f>
        <v>362226.8</v>
      </c>
    </row>
    <row r="24" spans="2:47" s="281" customFormat="1" ht="12.75" customHeight="1">
      <c r="B24" s="292">
        <v>4</v>
      </c>
      <c r="C24" s="293"/>
      <c r="D24" s="294"/>
      <c r="E24" s="294"/>
      <c r="F24" s="312" t="s">
        <v>510</v>
      </c>
      <c r="G24" s="296"/>
      <c r="H24" s="301"/>
      <c r="I24" s="301"/>
      <c r="J24" s="301"/>
      <c r="K24" s="301"/>
      <c r="L24" s="301"/>
      <c r="M24" s="301"/>
      <c r="N24" s="303"/>
      <c r="O24" s="303"/>
      <c r="P24" s="302"/>
      <c r="Q24" s="302"/>
      <c r="R24" s="301">
        <v>46405</v>
      </c>
      <c r="S24" s="302" t="s">
        <v>665</v>
      </c>
      <c r="T24" s="303" t="s">
        <v>666</v>
      </c>
      <c r="U24" s="302">
        <v>0.69861111111111107</v>
      </c>
      <c r="V24" s="302">
        <v>0.92638888888888893</v>
      </c>
      <c r="W24" s="304">
        <v>46408</v>
      </c>
      <c r="X24" s="305" t="s">
        <v>667</v>
      </c>
      <c r="Y24" s="305" t="s">
        <v>668</v>
      </c>
      <c r="Z24" s="305">
        <v>0.25</v>
      </c>
      <c r="AA24" s="305">
        <v>0.37916666666666665</v>
      </c>
      <c r="AB24" s="304"/>
      <c r="AC24" s="314"/>
      <c r="AD24" s="314"/>
      <c r="AE24" s="305"/>
      <c r="AF24" s="305"/>
      <c r="AG24" s="305"/>
      <c r="AH24" s="305"/>
      <c r="AI24" s="305"/>
      <c r="AJ24" s="305"/>
      <c r="AK24" s="305"/>
      <c r="AL24" s="319" t="s">
        <v>780</v>
      </c>
      <c r="AM24" s="315"/>
      <c r="AN24" s="316"/>
      <c r="AO24" s="320">
        <f>4800*B24</f>
        <v>19200</v>
      </c>
      <c r="AP24" s="309">
        <f>192*B24</f>
        <v>768</v>
      </c>
      <c r="AQ24" s="309">
        <f>3576*B24</f>
        <v>14304</v>
      </c>
      <c r="AR24" s="309">
        <f>AO24+AP24+AQ24</f>
        <v>34272</v>
      </c>
      <c r="AS24" s="309">
        <f>230*B24</f>
        <v>920</v>
      </c>
      <c r="AT24" s="309">
        <f>AS24*16%</f>
        <v>147.20000000000002</v>
      </c>
      <c r="AU24" s="311">
        <f>AR24+AS24+AT24</f>
        <v>35339.199999999997</v>
      </c>
    </row>
    <row r="25" spans="2:47" s="281" customFormat="1" ht="12.75" customHeight="1">
      <c r="B25" s="292">
        <v>10</v>
      </c>
      <c r="C25" s="293"/>
      <c r="D25" s="294"/>
      <c r="E25" s="294"/>
      <c r="F25" s="312" t="s">
        <v>512</v>
      </c>
      <c r="G25" s="296" t="s">
        <v>694</v>
      </c>
      <c r="H25" s="301"/>
      <c r="I25" s="301"/>
      <c r="J25" s="301"/>
      <c r="K25" s="301"/>
      <c r="L25" s="301"/>
      <c r="M25" s="298">
        <v>46404</v>
      </c>
      <c r="N25" s="303" t="s">
        <v>695</v>
      </c>
      <c r="O25" s="303" t="s">
        <v>696</v>
      </c>
      <c r="P25" s="302">
        <v>0.62430555555555556</v>
      </c>
      <c r="Q25" s="302">
        <v>0.7055555555555556</v>
      </c>
      <c r="R25" s="301">
        <v>46405</v>
      </c>
      <c r="S25" s="302" t="s">
        <v>665</v>
      </c>
      <c r="T25" s="303" t="s">
        <v>666</v>
      </c>
      <c r="U25" s="302">
        <v>0.69861111111111107</v>
      </c>
      <c r="V25" s="302">
        <v>0.92638888888888893</v>
      </c>
      <c r="W25" s="304">
        <v>46408</v>
      </c>
      <c r="X25" s="305" t="s">
        <v>667</v>
      </c>
      <c r="Y25" s="305" t="s">
        <v>668</v>
      </c>
      <c r="Z25" s="305">
        <v>0.25</v>
      </c>
      <c r="AA25" s="305">
        <v>0.37916666666666665</v>
      </c>
      <c r="AB25" s="304">
        <v>46408</v>
      </c>
      <c r="AC25" s="314" t="s">
        <v>697</v>
      </c>
      <c r="AD25" s="314" t="s">
        <v>698</v>
      </c>
      <c r="AE25" s="305">
        <v>0.52361111111111114</v>
      </c>
      <c r="AF25" s="305">
        <v>0.6</v>
      </c>
      <c r="AG25" s="305"/>
      <c r="AH25" s="305"/>
      <c r="AI25" s="305"/>
      <c r="AJ25" s="305"/>
      <c r="AK25" s="305"/>
      <c r="AL25" s="319" t="s">
        <v>699</v>
      </c>
      <c r="AM25" s="315"/>
      <c r="AN25" s="316"/>
      <c r="AO25" s="320">
        <f>SUM(3100+4800)*B25</f>
        <v>79000</v>
      </c>
      <c r="AP25" s="309">
        <f>SUM(496+192)*B25</f>
        <v>6880</v>
      </c>
      <c r="AQ25" s="309">
        <f>SUM(1453+3576)*B25</f>
        <v>50290</v>
      </c>
      <c r="AR25" s="309">
        <f>AO25+AP25+AQ25</f>
        <v>136170</v>
      </c>
      <c r="AS25" s="309">
        <f>230*B25</f>
        <v>2300</v>
      </c>
      <c r="AT25" s="309">
        <f>AS25*16%</f>
        <v>368</v>
      </c>
      <c r="AU25" s="311">
        <f>AR25+AS25+AT25</f>
        <v>138838</v>
      </c>
    </row>
    <row r="26" spans="2:47" s="281" customFormat="1" ht="12.75" customHeight="1">
      <c r="B26" s="292">
        <v>1</v>
      </c>
      <c r="C26" s="293"/>
      <c r="D26" s="294"/>
      <c r="E26" s="294"/>
      <c r="F26" s="312" t="s">
        <v>518</v>
      </c>
      <c r="G26" s="296" t="s">
        <v>700</v>
      </c>
      <c r="H26" s="298">
        <v>46404</v>
      </c>
      <c r="I26" s="303" t="s">
        <v>497</v>
      </c>
      <c r="J26" s="303" t="s">
        <v>701</v>
      </c>
      <c r="K26" s="302">
        <v>0.39583333333333331</v>
      </c>
      <c r="L26" s="300">
        <v>0.58333333333333337</v>
      </c>
      <c r="M26" s="298">
        <v>46404</v>
      </c>
      <c r="N26" s="303" t="s">
        <v>689</v>
      </c>
      <c r="O26" s="303" t="s">
        <v>500</v>
      </c>
      <c r="P26" s="302">
        <v>0.73263888888888884</v>
      </c>
      <c r="Q26" s="302">
        <v>0.80555555555555558</v>
      </c>
      <c r="R26" s="301">
        <v>46405</v>
      </c>
      <c r="S26" s="302" t="s">
        <v>640</v>
      </c>
      <c r="T26" s="303" t="s">
        <v>641</v>
      </c>
      <c r="U26" s="302">
        <v>0.36805555555555558</v>
      </c>
      <c r="V26" s="302">
        <v>0.65069444444444446</v>
      </c>
      <c r="W26" s="304">
        <v>46408</v>
      </c>
      <c r="X26" s="305" t="s">
        <v>642</v>
      </c>
      <c r="Y26" s="305" t="s">
        <v>643</v>
      </c>
      <c r="Z26" s="305">
        <v>0.70277777777777772</v>
      </c>
      <c r="AA26" s="305">
        <v>0.82986111111111116</v>
      </c>
      <c r="AB26" s="322">
        <v>46409</v>
      </c>
      <c r="AC26" s="314" t="s">
        <v>690</v>
      </c>
      <c r="AD26" s="314" t="s">
        <v>502</v>
      </c>
      <c r="AE26" s="305">
        <v>0.31944444444444442</v>
      </c>
      <c r="AF26" s="305">
        <v>0.39583333333333331</v>
      </c>
      <c r="AG26" s="322">
        <v>46409</v>
      </c>
      <c r="AH26" s="309" t="s">
        <v>497</v>
      </c>
      <c r="AI26" s="315" t="s">
        <v>691</v>
      </c>
      <c r="AJ26" s="415">
        <v>0.52083333333333337</v>
      </c>
      <c r="AK26" s="415">
        <v>0.73750000000000004</v>
      </c>
      <c r="AL26" s="309" t="s">
        <v>692</v>
      </c>
      <c r="AM26" s="309"/>
      <c r="AN26" s="309"/>
      <c r="AO26" s="320">
        <f>SUM(17225)*B26</f>
        <v>17225</v>
      </c>
      <c r="AP26" s="309">
        <f>689*B26</f>
        <v>689</v>
      </c>
      <c r="AQ26" s="309">
        <f>SUM(4134+2050+678)*B26</f>
        <v>6862</v>
      </c>
      <c r="AR26" s="309">
        <f>AO26+AP26+AQ26</f>
        <v>24776</v>
      </c>
      <c r="AS26" s="309">
        <f>230*B26</f>
        <v>230</v>
      </c>
      <c r="AT26" s="309">
        <f>AS26*16%</f>
        <v>36.800000000000004</v>
      </c>
      <c r="AU26" s="311">
        <f>AR26+AS26+AT26</f>
        <v>25042.799999999999</v>
      </c>
    </row>
    <row r="27" spans="2:47" s="281" customFormat="1" ht="12.75" customHeight="1">
      <c r="B27" s="292">
        <v>29</v>
      </c>
      <c r="C27" s="293"/>
      <c r="D27" s="294"/>
      <c r="E27" s="294"/>
      <c r="F27" s="312" t="s">
        <v>521</v>
      </c>
      <c r="G27" s="296"/>
      <c r="H27" s="301"/>
      <c r="I27" s="301"/>
      <c r="J27" s="301"/>
      <c r="K27" s="301"/>
      <c r="L27" s="301"/>
      <c r="M27" s="301">
        <v>46405</v>
      </c>
      <c r="N27" s="303" t="s">
        <v>702</v>
      </c>
      <c r="O27" s="303" t="s">
        <v>703</v>
      </c>
      <c r="P27" s="302">
        <v>6.9444444444444441E-3</v>
      </c>
      <c r="Q27" s="302">
        <v>0.22500000000000001</v>
      </c>
      <c r="R27" s="301">
        <v>46405</v>
      </c>
      <c r="S27" s="302" t="s">
        <v>704</v>
      </c>
      <c r="T27" s="303" t="s">
        <v>641</v>
      </c>
      <c r="U27" s="302">
        <v>0.30277777777777776</v>
      </c>
      <c r="V27" s="302">
        <v>0.44097222222222221</v>
      </c>
      <c r="W27" s="304">
        <v>46408</v>
      </c>
      <c r="X27" s="305" t="s">
        <v>713</v>
      </c>
      <c r="Y27" s="305" t="s">
        <v>660</v>
      </c>
      <c r="Z27" s="305">
        <v>0.77222222222222225</v>
      </c>
      <c r="AA27" s="305">
        <v>0.84722222222222221</v>
      </c>
      <c r="AB27" s="322">
        <v>46409</v>
      </c>
      <c r="AC27" s="314" t="s">
        <v>706</v>
      </c>
      <c r="AD27" s="314" t="s">
        <v>707</v>
      </c>
      <c r="AE27" s="305">
        <v>0.32013888888888886</v>
      </c>
      <c r="AF27" s="305">
        <v>0.45555555555555555</v>
      </c>
      <c r="AG27" s="305"/>
      <c r="AH27" s="305"/>
      <c r="AI27" s="305"/>
      <c r="AJ27" s="305"/>
      <c r="AK27" s="305"/>
      <c r="AL27" s="319" t="s">
        <v>708</v>
      </c>
      <c r="AM27" s="315"/>
      <c r="AN27" s="316"/>
      <c r="AO27" s="320">
        <f>16262*B27</f>
        <v>471598</v>
      </c>
      <c r="AP27" s="309">
        <f>651*B27</f>
        <v>18879</v>
      </c>
      <c r="AQ27" s="309">
        <f>SUM(5110)*B27</f>
        <v>148190</v>
      </c>
      <c r="AR27" s="309">
        <f>AO27+AP27+AQ27</f>
        <v>638667</v>
      </c>
      <c r="AS27" s="309">
        <f>230*B27</f>
        <v>6670</v>
      </c>
      <c r="AT27" s="309">
        <f>AS27*16%</f>
        <v>1067.2</v>
      </c>
      <c r="AU27" s="311">
        <f>AR27+AS27+AT27</f>
        <v>646404.19999999995</v>
      </c>
    </row>
    <row r="28" spans="2:47" s="281" customFormat="1" ht="12.75" customHeight="1">
      <c r="B28" s="292">
        <v>6</v>
      </c>
      <c r="C28" s="293"/>
      <c r="D28" s="294"/>
      <c r="E28" s="294"/>
      <c r="F28" s="312" t="s">
        <v>526</v>
      </c>
      <c r="G28" s="296"/>
      <c r="H28" s="301"/>
      <c r="I28" s="301"/>
      <c r="J28" s="301"/>
      <c r="K28" s="301"/>
      <c r="L28" s="301"/>
      <c r="M28" s="298">
        <v>46404</v>
      </c>
      <c r="N28" s="303" t="s">
        <v>709</v>
      </c>
      <c r="O28" s="303" t="s">
        <v>528</v>
      </c>
      <c r="P28" s="302">
        <v>0.72777777777777775</v>
      </c>
      <c r="Q28" s="302">
        <v>0.88194444444444442</v>
      </c>
      <c r="R28" s="301">
        <v>46405</v>
      </c>
      <c r="S28" s="302" t="s">
        <v>640</v>
      </c>
      <c r="T28" s="303" t="s">
        <v>641</v>
      </c>
      <c r="U28" s="302">
        <v>0.36805555555555558</v>
      </c>
      <c r="V28" s="302">
        <v>0.65069444444444446</v>
      </c>
      <c r="W28" s="304">
        <v>46408</v>
      </c>
      <c r="X28" s="305" t="s">
        <v>642</v>
      </c>
      <c r="Y28" s="305" t="s">
        <v>643</v>
      </c>
      <c r="Z28" s="305">
        <v>0.70277777777777772</v>
      </c>
      <c r="AA28" s="305">
        <v>0.82986111111111116</v>
      </c>
      <c r="AB28" s="322">
        <v>46409</v>
      </c>
      <c r="AC28" s="314" t="s">
        <v>710</v>
      </c>
      <c r="AD28" s="314" t="s">
        <v>531</v>
      </c>
      <c r="AE28" s="305">
        <v>0.4548611111111111</v>
      </c>
      <c r="AF28" s="305">
        <v>0.54861111111111116</v>
      </c>
      <c r="AG28" s="305"/>
      <c r="AH28" s="305"/>
      <c r="AI28" s="305"/>
      <c r="AJ28" s="305"/>
      <c r="AK28" s="305"/>
      <c r="AL28" s="309" t="s">
        <v>636</v>
      </c>
      <c r="AM28" s="315"/>
      <c r="AN28" s="316"/>
      <c r="AO28" s="309">
        <f>14756*B28</f>
        <v>88536</v>
      </c>
      <c r="AP28" s="309">
        <f>591*B28</f>
        <v>3546</v>
      </c>
      <c r="AQ28" s="309">
        <f>SUM(3375+3075)*B28</f>
        <v>38700</v>
      </c>
      <c r="AR28" s="309">
        <f>AO28+AP28+AQ28</f>
        <v>130782</v>
      </c>
      <c r="AS28" s="309">
        <f>230*B28</f>
        <v>1380</v>
      </c>
      <c r="AT28" s="309">
        <f>AS28*16%</f>
        <v>220.8</v>
      </c>
      <c r="AU28" s="311">
        <f>AR28+AS28+AT28</f>
        <v>132382.79999999999</v>
      </c>
    </row>
    <row r="29" spans="2:47" s="281" customFormat="1" ht="12.75" customHeight="1">
      <c r="B29" s="292">
        <v>2</v>
      </c>
      <c r="C29" s="293"/>
      <c r="D29" s="294"/>
      <c r="E29" s="294"/>
      <c r="F29" s="312" t="s">
        <v>532</v>
      </c>
      <c r="G29" s="296"/>
      <c r="H29" s="301"/>
      <c r="I29" s="301"/>
      <c r="J29" s="301"/>
      <c r="K29" s="301"/>
      <c r="L29" s="301"/>
      <c r="M29" s="298">
        <v>46404</v>
      </c>
      <c r="N29" s="303" t="s">
        <v>648</v>
      </c>
      <c r="O29" s="303" t="s">
        <v>649</v>
      </c>
      <c r="P29" s="302">
        <v>0.74236111111111114</v>
      </c>
      <c r="Q29" s="302">
        <v>0.79166666666666663</v>
      </c>
      <c r="R29" s="301">
        <v>46405</v>
      </c>
      <c r="S29" s="302" t="s">
        <v>640</v>
      </c>
      <c r="T29" s="303" t="s">
        <v>641</v>
      </c>
      <c r="U29" s="302">
        <v>0.36805555555555558</v>
      </c>
      <c r="V29" s="302">
        <v>0.65069444444444446</v>
      </c>
      <c r="W29" s="304">
        <v>46408</v>
      </c>
      <c r="X29" s="305" t="s">
        <v>642</v>
      </c>
      <c r="Y29" s="305" t="s">
        <v>643</v>
      </c>
      <c r="Z29" s="305">
        <v>0.70277777777777772</v>
      </c>
      <c r="AA29" s="305">
        <v>0.82986111111111116</v>
      </c>
      <c r="AB29" s="322">
        <v>46409</v>
      </c>
      <c r="AC29" s="314" t="s">
        <v>650</v>
      </c>
      <c r="AD29" s="314" t="s">
        <v>651</v>
      </c>
      <c r="AE29" s="305">
        <v>0.3298611111111111</v>
      </c>
      <c r="AF29" s="305">
        <v>0.37847222222222221</v>
      </c>
      <c r="AG29" s="305"/>
      <c r="AH29" s="305"/>
      <c r="AI29" s="305"/>
      <c r="AJ29" s="305"/>
      <c r="AK29" s="305"/>
      <c r="AL29" s="309" t="s">
        <v>636</v>
      </c>
      <c r="AM29" s="315"/>
      <c r="AN29" s="316"/>
      <c r="AO29" s="309">
        <f>14450*B29</f>
        <v>28900</v>
      </c>
      <c r="AP29" s="309">
        <f>578*B29</f>
        <v>1156</v>
      </c>
      <c r="AQ29" s="309">
        <f>SUM(3919+2050)*B29</f>
        <v>11938</v>
      </c>
      <c r="AR29" s="309">
        <f>AO29+AP29+AQ29</f>
        <v>41994</v>
      </c>
      <c r="AS29" s="309">
        <f>230*B29</f>
        <v>460</v>
      </c>
      <c r="AT29" s="309">
        <f>AS29*16%</f>
        <v>73.600000000000009</v>
      </c>
      <c r="AU29" s="311">
        <f>AR29+AS29+AT29</f>
        <v>42527.6</v>
      </c>
    </row>
    <row r="30" spans="2:47" s="281" customFormat="1" ht="12.75" customHeight="1">
      <c r="B30" s="292">
        <v>8</v>
      </c>
      <c r="C30" s="293"/>
      <c r="D30" s="294"/>
      <c r="E30" s="294"/>
      <c r="F30" s="312" t="s">
        <v>533</v>
      </c>
      <c r="G30" s="296"/>
      <c r="H30" s="301"/>
      <c r="I30" s="301"/>
      <c r="J30" s="301"/>
      <c r="K30" s="301"/>
      <c r="L30" s="301"/>
      <c r="M30" s="298">
        <v>46404</v>
      </c>
      <c r="N30" s="303" t="s">
        <v>648</v>
      </c>
      <c r="O30" s="303" t="s">
        <v>649</v>
      </c>
      <c r="P30" s="302">
        <v>0.74236111111111114</v>
      </c>
      <c r="Q30" s="302">
        <v>0.79166666666666663</v>
      </c>
      <c r="R30" s="301">
        <v>46405</v>
      </c>
      <c r="S30" s="302" t="s">
        <v>640</v>
      </c>
      <c r="T30" s="303" t="s">
        <v>641</v>
      </c>
      <c r="U30" s="302">
        <v>0.36805555555555558</v>
      </c>
      <c r="V30" s="302">
        <v>0.65069444444444446</v>
      </c>
      <c r="W30" s="304">
        <v>46408</v>
      </c>
      <c r="X30" s="305" t="s">
        <v>642</v>
      </c>
      <c r="Y30" s="305" t="s">
        <v>643</v>
      </c>
      <c r="Z30" s="305">
        <v>0.70277777777777772</v>
      </c>
      <c r="AA30" s="305">
        <v>0.82986111111111116</v>
      </c>
      <c r="AB30" s="322">
        <v>46409</v>
      </c>
      <c r="AC30" s="314" t="s">
        <v>650</v>
      </c>
      <c r="AD30" s="314" t="s">
        <v>651</v>
      </c>
      <c r="AE30" s="305">
        <v>0.3298611111111111</v>
      </c>
      <c r="AF30" s="305">
        <v>0.37847222222222221</v>
      </c>
      <c r="AG30" s="305"/>
      <c r="AH30" s="305"/>
      <c r="AI30" s="305"/>
      <c r="AJ30" s="305"/>
      <c r="AK30" s="305"/>
      <c r="AL30" s="309" t="s">
        <v>636</v>
      </c>
      <c r="AM30" s="315"/>
      <c r="AN30" s="316"/>
      <c r="AO30" s="309">
        <f>14450*B30</f>
        <v>115600</v>
      </c>
      <c r="AP30" s="309">
        <f>578*B30</f>
        <v>4624</v>
      </c>
      <c r="AQ30" s="309">
        <f>SUM(3919+2050)*B30</f>
        <v>47752</v>
      </c>
      <c r="AR30" s="309">
        <f>AO30+AP30+AQ30</f>
        <v>167976</v>
      </c>
      <c r="AS30" s="309">
        <f>230*B30</f>
        <v>1840</v>
      </c>
      <c r="AT30" s="309">
        <f>AS30*16%</f>
        <v>294.40000000000003</v>
      </c>
      <c r="AU30" s="311">
        <f>AR30+AS30+AT30</f>
        <v>170110.4</v>
      </c>
    </row>
    <row r="31" spans="2:47" s="281" customFormat="1" ht="12.75" customHeight="1">
      <c r="B31" s="292">
        <v>5</v>
      </c>
      <c r="C31" s="293"/>
      <c r="D31" s="294"/>
      <c r="E31" s="294"/>
      <c r="F31" s="312" t="s">
        <v>534</v>
      </c>
      <c r="G31" s="296"/>
      <c r="H31" s="301"/>
      <c r="I31" s="301"/>
      <c r="J31" s="301"/>
      <c r="K31" s="301"/>
      <c r="L31" s="301"/>
      <c r="M31" s="298">
        <v>46404</v>
      </c>
      <c r="N31" s="303" t="s">
        <v>536</v>
      </c>
      <c r="O31" s="323" t="s">
        <v>537</v>
      </c>
      <c r="P31" s="302">
        <v>0.49652777777777779</v>
      </c>
      <c r="Q31" s="302">
        <v>0.71875</v>
      </c>
      <c r="R31" s="301">
        <v>46405</v>
      </c>
      <c r="S31" s="302" t="s">
        <v>640</v>
      </c>
      <c r="T31" s="303" t="s">
        <v>641</v>
      </c>
      <c r="U31" s="302">
        <v>0.36805555555555558</v>
      </c>
      <c r="V31" s="302">
        <v>0.65069444444444446</v>
      </c>
      <c r="W31" s="304">
        <v>46408</v>
      </c>
      <c r="X31" s="305" t="s">
        <v>642</v>
      </c>
      <c r="Y31" s="305" t="s">
        <v>643</v>
      </c>
      <c r="Z31" s="305">
        <v>0.70277777777777772</v>
      </c>
      <c r="AA31" s="305">
        <v>0.82986111111111116</v>
      </c>
      <c r="AB31" s="322">
        <v>46409</v>
      </c>
      <c r="AC31" s="314" t="s">
        <v>635</v>
      </c>
      <c r="AD31" s="314" t="s">
        <v>540</v>
      </c>
      <c r="AE31" s="305">
        <v>0.35069444444444442</v>
      </c>
      <c r="AF31" s="305">
        <v>0.41805555555555557</v>
      </c>
      <c r="AG31" s="305"/>
      <c r="AH31" s="305"/>
      <c r="AI31" s="305"/>
      <c r="AJ31" s="305"/>
      <c r="AK31" s="305"/>
      <c r="AL31" s="319" t="s">
        <v>636</v>
      </c>
      <c r="AM31" s="315"/>
      <c r="AN31" s="316"/>
      <c r="AO31" s="309">
        <f>18416*B31</f>
        <v>92080</v>
      </c>
      <c r="AP31" s="309">
        <f>737*B31</f>
        <v>3685</v>
      </c>
      <c r="AQ31" s="309">
        <f>SUM(3490+2050)*B31</f>
        <v>27700</v>
      </c>
      <c r="AR31" s="309">
        <f>AO31+AP31+AQ31</f>
        <v>123465</v>
      </c>
      <c r="AS31" s="309">
        <f>230*B31</f>
        <v>1150</v>
      </c>
      <c r="AT31" s="309">
        <f>AS31*16%</f>
        <v>184</v>
      </c>
      <c r="AU31" s="311">
        <f>AR31+AS31+AT31</f>
        <v>124799</v>
      </c>
    </row>
    <row r="32" spans="2:47" s="281" customFormat="1" ht="12.75" customHeight="1">
      <c r="B32" s="292">
        <v>27</v>
      </c>
      <c r="C32" s="293"/>
      <c r="D32" s="294"/>
      <c r="E32" s="294"/>
      <c r="F32" s="312" t="s">
        <v>541</v>
      </c>
      <c r="G32" s="296"/>
      <c r="H32" s="301"/>
      <c r="I32" s="301"/>
      <c r="J32" s="301"/>
      <c r="K32" s="301"/>
      <c r="L32" s="301"/>
      <c r="M32" s="301">
        <v>46405</v>
      </c>
      <c r="N32" s="303" t="s">
        <v>711</v>
      </c>
      <c r="O32" s="323" t="s">
        <v>712</v>
      </c>
      <c r="P32" s="302">
        <v>4.027777777777778E-2</v>
      </c>
      <c r="Q32" s="302">
        <v>0.25833333333333336</v>
      </c>
      <c r="R32" s="301">
        <v>46405</v>
      </c>
      <c r="S32" s="302" t="s">
        <v>704</v>
      </c>
      <c r="T32" s="303" t="s">
        <v>658</v>
      </c>
      <c r="U32" s="302">
        <v>0.29583333333333334</v>
      </c>
      <c r="V32" s="302">
        <v>0.44097222222222221</v>
      </c>
      <c r="W32" s="304">
        <v>46408</v>
      </c>
      <c r="X32" s="305" t="s">
        <v>713</v>
      </c>
      <c r="Y32" s="305" t="s">
        <v>660</v>
      </c>
      <c r="Z32" s="305">
        <v>0.77222222222222225</v>
      </c>
      <c r="AA32" s="305">
        <v>0.84722222222222221</v>
      </c>
      <c r="AB32" s="322">
        <v>46409</v>
      </c>
      <c r="AC32" s="314" t="s">
        <v>714</v>
      </c>
      <c r="AD32" s="314" t="s">
        <v>715</v>
      </c>
      <c r="AE32" s="305">
        <v>0.32222222222222224</v>
      </c>
      <c r="AF32" s="305">
        <v>0.45902777777777776</v>
      </c>
      <c r="AG32" s="305"/>
      <c r="AH32" s="305"/>
      <c r="AI32" s="305"/>
      <c r="AJ32" s="305"/>
      <c r="AK32" s="305"/>
      <c r="AL32" s="319" t="s">
        <v>708</v>
      </c>
      <c r="AM32" s="315"/>
      <c r="AN32" s="316"/>
      <c r="AO32" s="309">
        <f>16395*B32</f>
        <v>442665</v>
      </c>
      <c r="AP32" s="309">
        <f>656*B32</f>
        <v>17712</v>
      </c>
      <c r="AQ32" s="309">
        <f>5090*B32</f>
        <v>137430</v>
      </c>
      <c r="AR32" s="309">
        <f>AO32+AP32+AQ32</f>
        <v>597807</v>
      </c>
      <c r="AS32" s="309">
        <f>230*B32</f>
        <v>6210</v>
      </c>
      <c r="AT32" s="309">
        <f>AS32*16%</f>
        <v>993.6</v>
      </c>
      <c r="AU32" s="311">
        <f>AR32+AS32+AT32</f>
        <v>605010.6</v>
      </c>
    </row>
    <row r="33" spans="2:47" s="281" customFormat="1" ht="12.75" customHeight="1">
      <c r="B33" s="292">
        <v>12</v>
      </c>
      <c r="C33" s="293"/>
      <c r="D33" s="294"/>
      <c r="E33" s="294"/>
      <c r="F33" s="312" t="s">
        <v>546</v>
      </c>
      <c r="G33" s="296"/>
      <c r="H33" s="301"/>
      <c r="I33" s="301"/>
      <c r="J33" s="301"/>
      <c r="K33" s="301"/>
      <c r="L33" s="301"/>
      <c r="M33" s="298">
        <v>46404</v>
      </c>
      <c r="N33" s="303" t="s">
        <v>716</v>
      </c>
      <c r="O33" s="323" t="s">
        <v>717</v>
      </c>
      <c r="P33" s="302">
        <v>0.62152777777777779</v>
      </c>
      <c r="Q33" s="302">
        <v>0.67361111111111116</v>
      </c>
      <c r="R33" s="301">
        <v>46405</v>
      </c>
      <c r="S33" s="302" t="s">
        <v>640</v>
      </c>
      <c r="T33" s="303" t="s">
        <v>641</v>
      </c>
      <c r="U33" s="302">
        <v>0.36805555555555558</v>
      </c>
      <c r="V33" s="302">
        <v>0.65069444444444446</v>
      </c>
      <c r="W33" s="304">
        <v>46408</v>
      </c>
      <c r="X33" s="305" t="s">
        <v>642</v>
      </c>
      <c r="Y33" s="305" t="s">
        <v>643</v>
      </c>
      <c r="Z33" s="305">
        <v>0.70277777777777772</v>
      </c>
      <c r="AA33" s="305">
        <v>0.82986111111111116</v>
      </c>
      <c r="AB33" s="322">
        <v>46409</v>
      </c>
      <c r="AC33" s="314" t="s">
        <v>718</v>
      </c>
      <c r="AD33" s="314" t="s">
        <v>719</v>
      </c>
      <c r="AE33" s="305">
        <v>0.54166666666666663</v>
      </c>
      <c r="AF33" s="305">
        <v>0.59097222222222223</v>
      </c>
      <c r="AG33" s="305"/>
      <c r="AH33" s="305"/>
      <c r="AI33" s="305"/>
      <c r="AJ33" s="305"/>
      <c r="AK33" s="305"/>
      <c r="AL33" s="309" t="s">
        <v>636</v>
      </c>
      <c r="AM33" s="315"/>
      <c r="AN33" s="316"/>
      <c r="AO33" s="309">
        <f>16544*B33</f>
        <v>198528</v>
      </c>
      <c r="AP33" s="309">
        <f>662*B33</f>
        <v>7944</v>
      </c>
      <c r="AQ33" s="309">
        <f>SUM(4062+2050)*B33</f>
        <v>73344</v>
      </c>
      <c r="AR33" s="309">
        <f>AO33+AP33+AQ33</f>
        <v>279816</v>
      </c>
      <c r="AS33" s="309">
        <f>230*B33</f>
        <v>2760</v>
      </c>
      <c r="AT33" s="309">
        <f>AS33*16%</f>
        <v>441.6</v>
      </c>
      <c r="AU33" s="311">
        <f>AR33+AS33+AT33</f>
        <v>283017.59999999998</v>
      </c>
    </row>
    <row r="34" spans="2:47" s="281" customFormat="1" ht="12.75" customHeight="1">
      <c r="B34" s="292">
        <v>2</v>
      </c>
      <c r="C34" s="293"/>
      <c r="D34" s="294"/>
      <c r="E34" s="294"/>
      <c r="F34" s="312" t="s">
        <v>551</v>
      </c>
      <c r="G34" s="296" t="s">
        <v>720</v>
      </c>
      <c r="H34" s="301"/>
      <c r="I34" s="301"/>
      <c r="J34" s="301"/>
      <c r="K34" s="301"/>
      <c r="L34" s="301"/>
      <c r="M34" s="298">
        <v>46404</v>
      </c>
      <c r="N34" s="303" t="s">
        <v>553</v>
      </c>
      <c r="O34" s="323" t="s">
        <v>554</v>
      </c>
      <c r="P34" s="302">
        <v>0.64236111111111116</v>
      </c>
      <c r="Q34" s="302">
        <v>0.72222222222222221</v>
      </c>
      <c r="R34" s="301">
        <v>46405</v>
      </c>
      <c r="S34" s="302" t="s">
        <v>640</v>
      </c>
      <c r="T34" s="303" t="s">
        <v>641</v>
      </c>
      <c r="U34" s="302">
        <v>0.36805555555555558</v>
      </c>
      <c r="V34" s="302">
        <v>0.65069444444444446</v>
      </c>
      <c r="W34" s="304">
        <v>46408</v>
      </c>
      <c r="X34" s="305" t="s">
        <v>642</v>
      </c>
      <c r="Y34" s="305" t="s">
        <v>643</v>
      </c>
      <c r="Z34" s="305">
        <v>0.70277777777777772</v>
      </c>
      <c r="AA34" s="305">
        <v>0.82986111111111116</v>
      </c>
      <c r="AB34" s="322">
        <v>46409</v>
      </c>
      <c r="AC34" s="314" t="s">
        <v>555</v>
      </c>
      <c r="AD34" s="314" t="s">
        <v>556</v>
      </c>
      <c r="AE34" s="305">
        <v>0.5</v>
      </c>
      <c r="AF34" s="305">
        <v>0.57916666666666672</v>
      </c>
      <c r="AG34" s="305"/>
      <c r="AH34" s="305"/>
      <c r="AI34" s="305"/>
      <c r="AJ34" s="305"/>
      <c r="AK34" s="305"/>
      <c r="AL34" s="309" t="s">
        <v>636</v>
      </c>
      <c r="AM34" s="315"/>
      <c r="AN34" s="316"/>
      <c r="AO34" s="309">
        <f>17225*B34</f>
        <v>34450</v>
      </c>
      <c r="AP34" s="309">
        <f>689*B34</f>
        <v>1378</v>
      </c>
      <c r="AQ34" s="309">
        <f>SUM(3530+2050)*B34</f>
        <v>11160</v>
      </c>
      <c r="AR34" s="309">
        <f>AO34+AP34+AQ34</f>
        <v>46988</v>
      </c>
      <c r="AS34" s="309">
        <f>230*B34</f>
        <v>460</v>
      </c>
      <c r="AT34" s="309">
        <f>AS34*16%</f>
        <v>73.600000000000009</v>
      </c>
      <c r="AU34" s="311">
        <f>AR34+AS34+AT34</f>
        <v>47521.599999999999</v>
      </c>
    </row>
    <row r="35" spans="2:47" s="281" customFormat="1" ht="12.75" customHeight="1">
      <c r="B35" s="292">
        <v>4</v>
      </c>
      <c r="C35" s="293"/>
      <c r="D35" s="294"/>
      <c r="E35" s="294"/>
      <c r="F35" s="312" t="s">
        <v>557</v>
      </c>
      <c r="G35" s="296"/>
      <c r="H35" s="301"/>
      <c r="I35" s="301"/>
      <c r="J35" s="301"/>
      <c r="K35" s="301"/>
      <c r="L35" s="301"/>
      <c r="M35" s="298">
        <v>46404</v>
      </c>
      <c r="N35" s="303" t="s">
        <v>721</v>
      </c>
      <c r="O35" s="323" t="s">
        <v>722</v>
      </c>
      <c r="P35" s="302">
        <v>0.74027777777777781</v>
      </c>
      <c r="Q35" s="302">
        <v>0.79513888888888884</v>
      </c>
      <c r="R35" s="301">
        <v>46405</v>
      </c>
      <c r="S35" s="302" t="s">
        <v>640</v>
      </c>
      <c r="T35" s="303" t="s">
        <v>641</v>
      </c>
      <c r="U35" s="302">
        <v>0.36805555555555558</v>
      </c>
      <c r="V35" s="302">
        <v>0.65069444444444446</v>
      </c>
      <c r="W35" s="304">
        <v>46408</v>
      </c>
      <c r="X35" s="305" t="s">
        <v>642</v>
      </c>
      <c r="Y35" s="305" t="s">
        <v>643</v>
      </c>
      <c r="Z35" s="305">
        <v>0.70277777777777772</v>
      </c>
      <c r="AA35" s="305">
        <v>0.82986111111111116</v>
      </c>
      <c r="AB35" s="322">
        <v>46409</v>
      </c>
      <c r="AC35" s="314" t="s">
        <v>723</v>
      </c>
      <c r="AD35" s="314" t="s">
        <v>724</v>
      </c>
      <c r="AE35" s="305">
        <v>0.33333333333333331</v>
      </c>
      <c r="AF35" s="305">
        <v>0.80347222222222225</v>
      </c>
      <c r="AG35" s="305"/>
      <c r="AH35" s="305"/>
      <c r="AI35" s="305"/>
      <c r="AJ35" s="305"/>
      <c r="AK35" s="305"/>
      <c r="AL35" s="309" t="s">
        <v>636</v>
      </c>
      <c r="AM35" s="315"/>
      <c r="AN35" s="316"/>
      <c r="AO35" s="309">
        <f>17225*B35</f>
        <v>68900</v>
      </c>
      <c r="AP35" s="309">
        <f>689*B35</f>
        <v>2756</v>
      </c>
      <c r="AQ35" s="309">
        <f>SUM(3798+2050)*B35</f>
        <v>23392</v>
      </c>
      <c r="AR35" s="309">
        <f>AO35+AP35+AQ35</f>
        <v>95048</v>
      </c>
      <c r="AS35" s="309">
        <f>230*B35</f>
        <v>920</v>
      </c>
      <c r="AT35" s="309">
        <f>AS35*16%</f>
        <v>147.20000000000002</v>
      </c>
      <c r="AU35" s="311">
        <f>AR35+AS35+AT35</f>
        <v>96115.199999999997</v>
      </c>
    </row>
    <row r="36" spans="2:47" s="281" customFormat="1" ht="12.75" customHeight="1">
      <c r="B36" s="292">
        <v>18</v>
      </c>
      <c r="C36" s="293"/>
      <c r="D36" s="294"/>
      <c r="E36" s="294"/>
      <c r="F36" s="312" t="s">
        <v>562</v>
      </c>
      <c r="G36" s="296" t="s">
        <v>725</v>
      </c>
      <c r="H36" s="301"/>
      <c r="I36" s="301"/>
      <c r="J36" s="301"/>
      <c r="K36" s="301"/>
      <c r="L36" s="301"/>
      <c r="M36" s="298">
        <v>46404</v>
      </c>
      <c r="N36" s="303" t="s">
        <v>514</v>
      </c>
      <c r="O36" s="323" t="s">
        <v>726</v>
      </c>
      <c r="P36" s="302">
        <v>0.65277777777777779</v>
      </c>
      <c r="Q36" s="302">
        <v>0.80555555555555558</v>
      </c>
      <c r="R36" s="301">
        <v>46405</v>
      </c>
      <c r="S36" s="302" t="s">
        <v>640</v>
      </c>
      <c r="T36" s="303" t="s">
        <v>641</v>
      </c>
      <c r="U36" s="302">
        <v>0.36805555555555558</v>
      </c>
      <c r="V36" s="302">
        <v>0.65069444444444446</v>
      </c>
      <c r="W36" s="304">
        <v>46408</v>
      </c>
      <c r="X36" s="305" t="s">
        <v>642</v>
      </c>
      <c r="Y36" s="305" t="s">
        <v>643</v>
      </c>
      <c r="Z36" s="305">
        <v>0.70277777777777772</v>
      </c>
      <c r="AA36" s="305">
        <v>0.82986111111111116</v>
      </c>
      <c r="AB36" s="322">
        <v>46409</v>
      </c>
      <c r="AC36" s="314" t="s">
        <v>514</v>
      </c>
      <c r="AD36" s="314" t="s">
        <v>727</v>
      </c>
      <c r="AE36" s="305">
        <v>0.33680555555555558</v>
      </c>
      <c r="AF36" s="305">
        <v>0.47222222222222221</v>
      </c>
      <c r="AG36" s="305"/>
      <c r="AH36" s="305"/>
      <c r="AI36" s="305"/>
      <c r="AJ36" s="305"/>
      <c r="AK36" s="305"/>
      <c r="AL36" s="319" t="s">
        <v>728</v>
      </c>
      <c r="AM36" s="315"/>
      <c r="AN36" s="316"/>
      <c r="AO36" s="309">
        <f>14160*B36</f>
        <v>254880</v>
      </c>
      <c r="AP36" s="309">
        <f>567*B36</f>
        <v>10206</v>
      </c>
      <c r="AQ36" s="309">
        <f>SUM(890+3997+2050)*B36</f>
        <v>124866</v>
      </c>
      <c r="AR36" s="309">
        <f>AO36+AP36+AQ36</f>
        <v>389952</v>
      </c>
      <c r="AS36" s="309">
        <f>230*B36</f>
        <v>4140</v>
      </c>
      <c r="AT36" s="309">
        <f>AS36*16%</f>
        <v>662.4</v>
      </c>
      <c r="AU36" s="311">
        <f>AR36+AS36+AT36</f>
        <v>394754.4</v>
      </c>
    </row>
    <row r="37" spans="2:47" s="281" customFormat="1" ht="12.75" customHeight="1">
      <c r="B37" s="292">
        <v>10</v>
      </c>
      <c r="C37" s="293"/>
      <c r="D37" s="294"/>
      <c r="E37" s="294"/>
      <c r="F37" s="312" t="s">
        <v>567</v>
      </c>
      <c r="G37" s="296"/>
      <c r="H37" s="301"/>
      <c r="I37" s="301"/>
      <c r="J37" s="301"/>
      <c r="K37" s="301"/>
      <c r="L37" s="301"/>
      <c r="M37" s="298">
        <v>46404</v>
      </c>
      <c r="N37" s="303" t="s">
        <v>729</v>
      </c>
      <c r="O37" s="323" t="s">
        <v>730</v>
      </c>
      <c r="P37" s="302">
        <v>0.71527777777777779</v>
      </c>
      <c r="Q37" s="302">
        <v>0.76388888888888884</v>
      </c>
      <c r="R37" s="301">
        <v>46405</v>
      </c>
      <c r="S37" s="302" t="s">
        <v>640</v>
      </c>
      <c r="T37" s="303" t="s">
        <v>641</v>
      </c>
      <c r="U37" s="302">
        <v>0.36805555555555558</v>
      </c>
      <c r="V37" s="302">
        <v>0.65069444444444446</v>
      </c>
      <c r="W37" s="304">
        <v>46408</v>
      </c>
      <c r="X37" s="305" t="s">
        <v>642</v>
      </c>
      <c r="Y37" s="305" t="s">
        <v>643</v>
      </c>
      <c r="Z37" s="305">
        <v>0.70277777777777772</v>
      </c>
      <c r="AA37" s="305">
        <v>0.82986111111111116</v>
      </c>
      <c r="AB37" s="322">
        <v>46409</v>
      </c>
      <c r="AC37" s="314" t="s">
        <v>731</v>
      </c>
      <c r="AD37" s="314" t="s">
        <v>732</v>
      </c>
      <c r="AE37" s="305">
        <v>0.43402777777777779</v>
      </c>
      <c r="AF37" s="305">
        <v>0.4826388888888889</v>
      </c>
      <c r="AG37" s="305"/>
      <c r="AH37" s="305"/>
      <c r="AI37" s="305"/>
      <c r="AJ37" s="305"/>
      <c r="AK37" s="305"/>
      <c r="AL37" s="319" t="s">
        <v>636</v>
      </c>
      <c r="AM37" s="315"/>
      <c r="AN37" s="316"/>
      <c r="AO37" s="309">
        <f>14450*B37</f>
        <v>144500</v>
      </c>
      <c r="AP37" s="309">
        <f>578*B37</f>
        <v>5780</v>
      </c>
      <c r="AQ37" s="309">
        <f>SUM(3552+2050)*B37</f>
        <v>56020</v>
      </c>
      <c r="AR37" s="309">
        <f>AO37+AP37+AQ37</f>
        <v>206300</v>
      </c>
      <c r="AS37" s="309">
        <f>230*B37</f>
        <v>2300</v>
      </c>
      <c r="AT37" s="309">
        <f>AS37*16%</f>
        <v>368</v>
      </c>
      <c r="AU37" s="311">
        <f>AR37+AS37+AT37</f>
        <v>208968</v>
      </c>
    </row>
    <row r="38" spans="2:47" s="281" customFormat="1" ht="12.75" customHeight="1">
      <c r="B38" s="292">
        <v>2</v>
      </c>
      <c r="C38" s="293"/>
      <c r="D38" s="294"/>
      <c r="E38" s="294"/>
      <c r="F38" s="312" t="s">
        <v>572</v>
      </c>
      <c r="G38" s="296"/>
      <c r="H38" s="301"/>
      <c r="I38" s="301"/>
      <c r="J38" s="301"/>
      <c r="K38" s="301"/>
      <c r="L38" s="301"/>
      <c r="M38" s="298">
        <v>46039</v>
      </c>
      <c r="N38" s="303" t="s">
        <v>574</v>
      </c>
      <c r="O38" s="323" t="s">
        <v>575</v>
      </c>
      <c r="P38" s="302">
        <v>0.68819444444444444</v>
      </c>
      <c r="Q38" s="302">
        <v>0.76736111111111116</v>
      </c>
      <c r="R38" s="301">
        <v>46405</v>
      </c>
      <c r="S38" s="302" t="s">
        <v>640</v>
      </c>
      <c r="T38" s="303" t="s">
        <v>641</v>
      </c>
      <c r="U38" s="302">
        <v>0.36805555555555558</v>
      </c>
      <c r="V38" s="302">
        <v>0.65069444444444446</v>
      </c>
      <c r="W38" s="304">
        <v>46408</v>
      </c>
      <c r="X38" s="305" t="s">
        <v>642</v>
      </c>
      <c r="Y38" s="305" t="s">
        <v>643</v>
      </c>
      <c r="Z38" s="305">
        <v>0.70277777777777772</v>
      </c>
      <c r="AA38" s="305">
        <v>0.82986111111111116</v>
      </c>
      <c r="AB38" s="322">
        <v>46409</v>
      </c>
      <c r="AC38" s="314" t="s">
        <v>576</v>
      </c>
      <c r="AD38" s="314" t="s">
        <v>577</v>
      </c>
      <c r="AE38" s="305">
        <v>0.54861111111111116</v>
      </c>
      <c r="AF38" s="305">
        <v>0.62152777777777779</v>
      </c>
      <c r="AG38" s="305"/>
      <c r="AH38" s="305"/>
      <c r="AI38" s="305"/>
      <c r="AJ38" s="305"/>
      <c r="AK38" s="305"/>
      <c r="AL38" s="319" t="s">
        <v>636</v>
      </c>
      <c r="AM38" s="315"/>
      <c r="AN38" s="316"/>
      <c r="AO38" s="309">
        <f>17262*B38</f>
        <v>34524</v>
      </c>
      <c r="AP38" s="309">
        <f>691*B38</f>
        <v>1382</v>
      </c>
      <c r="AQ38" s="309">
        <f>SUM(3840+2050)*B38</f>
        <v>11780</v>
      </c>
      <c r="AR38" s="309">
        <f>AO38+AP38+AQ38</f>
        <v>47686</v>
      </c>
      <c r="AS38" s="309">
        <f>230*B38</f>
        <v>460</v>
      </c>
      <c r="AT38" s="309">
        <f>AS38*16%</f>
        <v>73.600000000000009</v>
      </c>
      <c r="AU38" s="311">
        <f>AR38+AS38+AT38</f>
        <v>48219.6</v>
      </c>
    </row>
    <row r="39" spans="2:47" s="281" customFormat="1" ht="12.75" customHeight="1">
      <c r="B39" s="292">
        <v>1</v>
      </c>
      <c r="C39" s="293"/>
      <c r="D39" s="294"/>
      <c r="E39" s="294"/>
      <c r="F39" s="312" t="s">
        <v>578</v>
      </c>
      <c r="G39" s="296" t="s">
        <v>733</v>
      </c>
      <c r="H39" s="301">
        <v>46405</v>
      </c>
      <c r="I39" s="302" t="s">
        <v>734</v>
      </c>
      <c r="J39" s="301" t="s">
        <v>781</v>
      </c>
      <c r="K39" s="300">
        <v>0.70833333333333337</v>
      </c>
      <c r="L39" s="300">
        <v>0.80555555555555558</v>
      </c>
      <c r="M39" s="301">
        <v>46405</v>
      </c>
      <c r="N39" s="303" t="s">
        <v>711</v>
      </c>
      <c r="O39" s="323" t="s">
        <v>712</v>
      </c>
      <c r="P39" s="302">
        <v>4.027777777777778E-2</v>
      </c>
      <c r="Q39" s="302">
        <v>0.25833333333333336</v>
      </c>
      <c r="R39" s="301">
        <v>46405</v>
      </c>
      <c r="S39" s="302" t="s">
        <v>704</v>
      </c>
      <c r="T39" s="303" t="s">
        <v>658</v>
      </c>
      <c r="U39" s="302">
        <v>0.29583333333333334</v>
      </c>
      <c r="V39" s="302">
        <v>0.44097222222222221</v>
      </c>
      <c r="W39" s="304">
        <v>46408</v>
      </c>
      <c r="X39" s="305" t="s">
        <v>713</v>
      </c>
      <c r="Y39" s="305" t="s">
        <v>660</v>
      </c>
      <c r="Z39" s="305">
        <v>0.77222222222222225</v>
      </c>
      <c r="AA39" s="305">
        <v>0.84722222222222221</v>
      </c>
      <c r="AB39" s="322">
        <v>46409</v>
      </c>
      <c r="AC39" s="314" t="s">
        <v>714</v>
      </c>
      <c r="AD39" s="314" t="s">
        <v>715</v>
      </c>
      <c r="AE39" s="305">
        <v>0.32222222222222224</v>
      </c>
      <c r="AF39" s="305">
        <v>0.45902777777777776</v>
      </c>
      <c r="AG39" s="322">
        <v>46409</v>
      </c>
      <c r="AH39" s="305" t="s">
        <v>734</v>
      </c>
      <c r="AI39" s="305" t="s">
        <v>736</v>
      </c>
      <c r="AJ39" s="305">
        <v>0.60416666666666663</v>
      </c>
      <c r="AK39" s="305">
        <v>0.72222222222222221</v>
      </c>
      <c r="AL39" s="319" t="s">
        <v>782</v>
      </c>
      <c r="AM39" s="315"/>
      <c r="AN39" s="316"/>
      <c r="AO39" s="309">
        <f>14041*B39</f>
        <v>14041</v>
      </c>
      <c r="AP39" s="309">
        <f>562*B39</f>
        <v>562</v>
      </c>
      <c r="AQ39" s="309">
        <f>SUM(1220+4090+2050)*B39</f>
        <v>7360</v>
      </c>
      <c r="AR39" s="309">
        <f>AO39+AP39+AQ39</f>
        <v>21963</v>
      </c>
      <c r="AS39" s="309">
        <f>230*B39</f>
        <v>230</v>
      </c>
      <c r="AT39" s="309">
        <f>AS39*16%</f>
        <v>36.800000000000004</v>
      </c>
      <c r="AU39" s="311">
        <f>AR39+AS39+AT39</f>
        <v>22229.8</v>
      </c>
    </row>
    <row r="40" spans="2:47" s="281" customFormat="1" ht="12.75" customHeight="1">
      <c r="B40" s="292">
        <v>5</v>
      </c>
      <c r="C40" s="293"/>
      <c r="D40" s="294"/>
      <c r="E40" s="294"/>
      <c r="F40" s="312" t="s">
        <v>583</v>
      </c>
      <c r="G40" s="296"/>
      <c r="H40" s="301"/>
      <c r="I40" s="301"/>
      <c r="J40" s="301"/>
      <c r="K40" s="301"/>
      <c r="L40" s="301"/>
      <c r="M40" s="298">
        <v>46404</v>
      </c>
      <c r="N40" s="303" t="s">
        <v>738</v>
      </c>
      <c r="O40" s="323" t="s">
        <v>739</v>
      </c>
      <c r="P40" s="302">
        <v>4.8277777777777775</v>
      </c>
      <c r="Q40" s="302">
        <v>0.71527777777777779</v>
      </c>
      <c r="R40" s="301">
        <v>46405</v>
      </c>
      <c r="S40" s="302" t="s">
        <v>640</v>
      </c>
      <c r="T40" s="303" t="s">
        <v>641</v>
      </c>
      <c r="U40" s="302">
        <v>0.36805555555555558</v>
      </c>
      <c r="V40" s="302">
        <v>0.65069444444444446</v>
      </c>
      <c r="W40" s="304">
        <v>46408</v>
      </c>
      <c r="X40" s="305" t="s">
        <v>642</v>
      </c>
      <c r="Y40" s="305" t="s">
        <v>643</v>
      </c>
      <c r="Z40" s="305">
        <v>0.70277777777777772</v>
      </c>
      <c r="AA40" s="305">
        <v>0.82986111111111116</v>
      </c>
      <c r="AB40" s="322">
        <v>46409</v>
      </c>
      <c r="AC40" s="314" t="s">
        <v>740</v>
      </c>
      <c r="AD40" s="314" t="s">
        <v>741</v>
      </c>
      <c r="AE40" s="305"/>
      <c r="AF40" s="305"/>
      <c r="AG40" s="305"/>
      <c r="AH40" s="305"/>
      <c r="AI40" s="305"/>
      <c r="AJ40" s="305"/>
      <c r="AK40" s="305"/>
      <c r="AL40" s="319" t="s">
        <v>636</v>
      </c>
      <c r="AM40" s="315"/>
      <c r="AN40" s="316"/>
      <c r="AO40" s="309">
        <f>16998*B40</f>
        <v>84990</v>
      </c>
      <c r="AP40" s="309">
        <f>680*B40</f>
        <v>3400</v>
      </c>
      <c r="AQ40" s="309">
        <f>SUM(4060+2050)*B40</f>
        <v>30550</v>
      </c>
      <c r="AR40" s="309">
        <f>AO40+AP40+AQ40</f>
        <v>118940</v>
      </c>
      <c r="AS40" s="309">
        <f>230*B40</f>
        <v>1150</v>
      </c>
      <c r="AT40" s="309">
        <f>AS40*16%</f>
        <v>184</v>
      </c>
      <c r="AU40" s="311">
        <f>AR40+AS40+AT40</f>
        <v>120274</v>
      </c>
    </row>
    <row r="41" spans="2:47" s="281" customFormat="1" ht="12.75" customHeight="1">
      <c r="B41" s="292">
        <v>7</v>
      </c>
      <c r="C41" s="293"/>
      <c r="D41" s="294"/>
      <c r="E41" s="294"/>
      <c r="F41" s="312" t="s">
        <v>588</v>
      </c>
      <c r="G41" s="296" t="s">
        <v>742</v>
      </c>
      <c r="H41" s="301"/>
      <c r="I41" s="301"/>
      <c r="J41" s="301"/>
      <c r="K41" s="301"/>
      <c r="L41" s="301"/>
      <c r="M41" s="298">
        <v>46404</v>
      </c>
      <c r="N41" s="303" t="s">
        <v>743</v>
      </c>
      <c r="O41" s="303" t="s">
        <v>590</v>
      </c>
      <c r="P41" s="302">
        <v>0.60347222222222219</v>
      </c>
      <c r="Q41" s="302">
        <v>0.67361111111111116</v>
      </c>
      <c r="R41" s="301">
        <v>46405</v>
      </c>
      <c r="S41" s="302" t="s">
        <v>640</v>
      </c>
      <c r="T41" s="303" t="s">
        <v>641</v>
      </c>
      <c r="U41" s="302">
        <v>0.36805555555555558</v>
      </c>
      <c r="V41" s="302">
        <v>0.65069444444444446</v>
      </c>
      <c r="W41" s="304">
        <v>46408</v>
      </c>
      <c r="X41" s="305" t="s">
        <v>642</v>
      </c>
      <c r="Y41" s="305" t="s">
        <v>643</v>
      </c>
      <c r="Z41" s="305">
        <v>0.70277777777777772</v>
      </c>
      <c r="AA41" s="305">
        <v>0.82986111111111116</v>
      </c>
      <c r="AB41" s="322">
        <v>46409</v>
      </c>
      <c r="AC41" s="314" t="s">
        <v>744</v>
      </c>
      <c r="AD41" s="314" t="s">
        <v>593</v>
      </c>
      <c r="AE41" s="305">
        <v>0.30902777777777779</v>
      </c>
      <c r="AF41" s="305">
        <v>0.3576388888888889</v>
      </c>
      <c r="AG41" s="305"/>
      <c r="AH41" s="305"/>
      <c r="AI41" s="305"/>
      <c r="AJ41" s="305"/>
      <c r="AK41" s="305"/>
      <c r="AL41" s="319" t="s">
        <v>636</v>
      </c>
      <c r="AM41" s="315"/>
      <c r="AN41" s="316"/>
      <c r="AO41" s="309">
        <f>17225*B41</f>
        <v>120575</v>
      </c>
      <c r="AP41" s="309">
        <f>689*B41</f>
        <v>4823</v>
      </c>
      <c r="AQ41" s="309">
        <f>SUM(4117+2050)*B41</f>
        <v>43169</v>
      </c>
      <c r="AR41" s="309">
        <f>AO41+AP41+AQ41</f>
        <v>168567</v>
      </c>
      <c r="AS41" s="309">
        <f>230*B41</f>
        <v>1610</v>
      </c>
      <c r="AT41" s="309">
        <f>AS41*16%</f>
        <v>257.60000000000002</v>
      </c>
      <c r="AU41" s="311">
        <f>AR41+AS41+AT41</f>
        <v>170434.6</v>
      </c>
    </row>
    <row r="42" spans="2:47" s="281" customFormat="1" ht="12.75" customHeight="1">
      <c r="B42" s="292">
        <v>10</v>
      </c>
      <c r="C42" s="293"/>
      <c r="D42" s="294"/>
      <c r="E42" s="294"/>
      <c r="F42" s="312" t="s">
        <v>594</v>
      </c>
      <c r="G42" s="296"/>
      <c r="H42" s="301"/>
      <c r="I42" s="301"/>
      <c r="J42" s="301"/>
      <c r="K42" s="301"/>
      <c r="L42" s="301"/>
      <c r="M42" s="298">
        <v>46404</v>
      </c>
      <c r="N42" s="303" t="s">
        <v>783</v>
      </c>
      <c r="O42" s="323" t="s">
        <v>746</v>
      </c>
      <c r="P42" s="302">
        <v>0.47638888888888886</v>
      </c>
      <c r="Q42" s="302">
        <v>0.70486111111111116</v>
      </c>
      <c r="R42" s="301">
        <v>46405</v>
      </c>
      <c r="S42" s="302" t="s">
        <v>640</v>
      </c>
      <c r="T42" s="303" t="s">
        <v>641</v>
      </c>
      <c r="U42" s="302">
        <v>0.36805555555555558</v>
      </c>
      <c r="V42" s="302">
        <v>0.65069444444444446</v>
      </c>
      <c r="W42" s="304">
        <v>46408</v>
      </c>
      <c r="X42" s="305" t="s">
        <v>642</v>
      </c>
      <c r="Y42" s="305" t="s">
        <v>643</v>
      </c>
      <c r="Z42" s="305">
        <v>0.70277777777777772</v>
      </c>
      <c r="AA42" s="305">
        <v>0.82986111111111116</v>
      </c>
      <c r="AB42" s="322">
        <v>46409</v>
      </c>
      <c r="AC42" s="314" t="s">
        <v>747</v>
      </c>
      <c r="AD42" s="314" t="s">
        <v>748</v>
      </c>
      <c r="AE42" s="305">
        <v>0.375</v>
      </c>
      <c r="AF42" s="305">
        <v>0.45833333333333331</v>
      </c>
      <c r="AG42" s="305"/>
      <c r="AH42" s="305"/>
      <c r="AI42" s="305"/>
      <c r="AJ42" s="305"/>
      <c r="AK42" s="305"/>
      <c r="AL42" s="319" t="s">
        <v>636</v>
      </c>
      <c r="AM42" s="315"/>
      <c r="AN42" s="316"/>
      <c r="AO42" s="309">
        <f>17999*B42</f>
        <v>179990</v>
      </c>
      <c r="AP42" s="309">
        <f>720*B42</f>
        <v>7200</v>
      </c>
      <c r="AQ42" s="309">
        <f>SUM(3580+2050)*B42</f>
        <v>56300</v>
      </c>
      <c r="AR42" s="309">
        <f>AO42+AP42+AQ42</f>
        <v>243490</v>
      </c>
      <c r="AS42" s="309">
        <f>230*B42</f>
        <v>2300</v>
      </c>
      <c r="AT42" s="309">
        <f>AS42*16%</f>
        <v>368</v>
      </c>
      <c r="AU42" s="311">
        <f>AR42+AS42+AT42</f>
        <v>246158</v>
      </c>
    </row>
    <row r="43" spans="2:47" s="281" customFormat="1" ht="12.75" customHeight="1">
      <c r="B43" s="292">
        <v>5</v>
      </c>
      <c r="C43" s="293"/>
      <c r="D43" s="294"/>
      <c r="E43" s="294"/>
      <c r="F43" s="312" t="s">
        <v>599</v>
      </c>
      <c r="G43" s="296"/>
      <c r="H43" s="301"/>
      <c r="I43" s="301"/>
      <c r="J43" s="301"/>
      <c r="K43" s="301"/>
      <c r="L43" s="301"/>
      <c r="M43" s="298">
        <v>46404</v>
      </c>
      <c r="N43" s="303" t="s">
        <v>749</v>
      </c>
      <c r="O43" s="323" t="s">
        <v>750</v>
      </c>
      <c r="P43" s="302">
        <v>0.75902777777777775</v>
      </c>
      <c r="Q43" s="302">
        <v>0.83333333333333337</v>
      </c>
      <c r="R43" s="301">
        <v>46405</v>
      </c>
      <c r="S43" s="302" t="s">
        <v>640</v>
      </c>
      <c r="T43" s="303" t="s">
        <v>641</v>
      </c>
      <c r="U43" s="302">
        <v>0.36805555555555558</v>
      </c>
      <c r="V43" s="302">
        <v>0.65069444444444446</v>
      </c>
      <c r="W43" s="304">
        <v>46408</v>
      </c>
      <c r="X43" s="305" t="s">
        <v>642</v>
      </c>
      <c r="Y43" s="305" t="s">
        <v>643</v>
      </c>
      <c r="Z43" s="305">
        <v>0.70277777777777772</v>
      </c>
      <c r="AA43" s="305">
        <v>0.82986111111111116</v>
      </c>
      <c r="AB43" s="322">
        <v>46409</v>
      </c>
      <c r="AC43" s="314" t="s">
        <v>751</v>
      </c>
      <c r="AD43" s="314" t="s">
        <v>603</v>
      </c>
      <c r="AE43" s="305">
        <v>0.4236111111111111</v>
      </c>
      <c r="AF43" s="305">
        <v>0.5</v>
      </c>
      <c r="AG43" s="305"/>
      <c r="AH43" s="305"/>
      <c r="AI43" s="305"/>
      <c r="AJ43" s="305"/>
      <c r="AK43" s="305"/>
      <c r="AL43" s="319" t="s">
        <v>636</v>
      </c>
      <c r="AM43" s="315"/>
      <c r="AN43" s="316"/>
      <c r="AO43" s="309">
        <f>17225*B43</f>
        <v>86125</v>
      </c>
      <c r="AP43" s="309">
        <f>690*B43</f>
        <v>3450</v>
      </c>
      <c r="AQ43" s="309">
        <f>SUM(4150+2050)*B43</f>
        <v>31000</v>
      </c>
      <c r="AR43" s="309">
        <f>AO43+AP43+AQ43</f>
        <v>120575</v>
      </c>
      <c r="AS43" s="309">
        <f>230*B43</f>
        <v>1150</v>
      </c>
      <c r="AT43" s="309">
        <f>AS43*16%</f>
        <v>184</v>
      </c>
      <c r="AU43" s="311">
        <f>AR43+AS43+AT43</f>
        <v>121909</v>
      </c>
    </row>
    <row r="44" spans="2:47" s="281" customFormat="1" ht="12.75" customHeight="1">
      <c r="B44" s="292">
        <v>7</v>
      </c>
      <c r="C44" s="293"/>
      <c r="D44" s="294"/>
      <c r="E44" s="294"/>
      <c r="F44" s="312" t="s">
        <v>604</v>
      </c>
      <c r="G44" s="296"/>
      <c r="H44" s="301"/>
      <c r="I44" s="301"/>
      <c r="J44" s="301"/>
      <c r="K44" s="301"/>
      <c r="L44" s="301"/>
      <c r="M44" s="298">
        <v>46404</v>
      </c>
      <c r="N44" s="303" t="s">
        <v>752</v>
      </c>
      <c r="O44" s="323" t="s">
        <v>753</v>
      </c>
      <c r="P44" s="302">
        <v>0.62777777777777777</v>
      </c>
      <c r="Q44" s="302">
        <v>0.70138888888888884</v>
      </c>
      <c r="R44" s="301">
        <v>46405</v>
      </c>
      <c r="S44" s="302" t="s">
        <v>640</v>
      </c>
      <c r="T44" s="303" t="s">
        <v>641</v>
      </c>
      <c r="U44" s="302">
        <v>0.36805555555555558</v>
      </c>
      <c r="V44" s="302">
        <v>0.65069444444444446</v>
      </c>
      <c r="W44" s="304">
        <v>46408</v>
      </c>
      <c r="X44" s="305" t="s">
        <v>642</v>
      </c>
      <c r="Y44" s="305" t="s">
        <v>643</v>
      </c>
      <c r="Z44" s="305">
        <v>0.70277777777777772</v>
      </c>
      <c r="AA44" s="305">
        <v>0.82986111111111116</v>
      </c>
      <c r="AB44" s="322">
        <v>46409</v>
      </c>
      <c r="AC44" s="314" t="s">
        <v>754</v>
      </c>
      <c r="AD44" s="314" t="s">
        <v>755</v>
      </c>
      <c r="AE44" s="305">
        <v>0.39930555555555558</v>
      </c>
      <c r="AF44" s="305">
        <v>0.47430555555555554</v>
      </c>
      <c r="AG44" s="305"/>
      <c r="AH44" s="305"/>
      <c r="AI44" s="305"/>
      <c r="AJ44" s="305"/>
      <c r="AK44" s="305"/>
      <c r="AL44" s="319" t="s">
        <v>636</v>
      </c>
      <c r="AM44" s="315"/>
      <c r="AN44" s="316"/>
      <c r="AO44" s="309">
        <f>16999*B44</f>
        <v>118993</v>
      </c>
      <c r="AP44" s="309">
        <f>680*B44</f>
        <v>4760</v>
      </c>
      <c r="AQ44" s="309">
        <f>SUM(3596+2050)*B44</f>
        <v>39522</v>
      </c>
      <c r="AR44" s="309">
        <f>AO44+AP44+AQ44</f>
        <v>163275</v>
      </c>
      <c r="AS44" s="309">
        <f>230*B44</f>
        <v>1610</v>
      </c>
      <c r="AT44" s="309">
        <f>AS44*16%</f>
        <v>257.60000000000002</v>
      </c>
      <c r="AU44" s="311">
        <f>AR44+AS44+AT44</f>
        <v>165142.6</v>
      </c>
    </row>
    <row r="45" spans="2:47" s="281" customFormat="1" ht="12.75" customHeight="1">
      <c r="B45" s="292">
        <v>10</v>
      </c>
      <c r="C45" s="293"/>
      <c r="D45" s="294"/>
      <c r="E45" s="294"/>
      <c r="F45" s="312" t="s">
        <v>609</v>
      </c>
      <c r="G45" s="296" t="s">
        <v>756</v>
      </c>
      <c r="H45" s="301"/>
      <c r="I45" s="301"/>
      <c r="J45" s="303"/>
      <c r="K45" s="301"/>
      <c r="L45" s="301"/>
      <c r="M45" s="298">
        <v>46404</v>
      </c>
      <c r="N45" s="303" t="s">
        <v>757</v>
      </c>
      <c r="O45" s="303" t="s">
        <v>758</v>
      </c>
      <c r="P45" s="302">
        <v>0.73888888888888893</v>
      </c>
      <c r="Q45" s="302">
        <v>0.79166666666666663</v>
      </c>
      <c r="R45" s="301">
        <v>46405</v>
      </c>
      <c r="S45" s="302" t="s">
        <v>640</v>
      </c>
      <c r="T45" s="303" t="s">
        <v>641</v>
      </c>
      <c r="U45" s="302">
        <v>0.36805555555555558</v>
      </c>
      <c r="V45" s="302">
        <v>0.65069444444444446</v>
      </c>
      <c r="W45" s="304">
        <v>46408</v>
      </c>
      <c r="X45" s="305" t="s">
        <v>642</v>
      </c>
      <c r="Y45" s="305" t="s">
        <v>643</v>
      </c>
      <c r="Z45" s="305">
        <v>0.70277777777777772</v>
      </c>
      <c r="AA45" s="305">
        <v>0.82986111111111116</v>
      </c>
      <c r="AB45" s="322">
        <v>46409</v>
      </c>
      <c r="AC45" s="314" t="s">
        <v>759</v>
      </c>
      <c r="AD45" s="314" t="s">
        <v>760</v>
      </c>
      <c r="AE45" s="305">
        <v>0.34375</v>
      </c>
      <c r="AF45" s="305">
        <v>0.39027777777777778</v>
      </c>
      <c r="AG45" s="305"/>
      <c r="AH45" s="305"/>
      <c r="AI45" s="305"/>
      <c r="AJ45" s="305"/>
      <c r="AK45" s="305"/>
      <c r="AL45" s="319" t="s">
        <v>636</v>
      </c>
      <c r="AM45" s="315"/>
      <c r="AN45" s="316"/>
      <c r="AO45" s="309">
        <f>17225*B45</f>
        <v>172250</v>
      </c>
      <c r="AP45" s="309">
        <f>689*B45</f>
        <v>6890</v>
      </c>
      <c r="AQ45" s="309">
        <f>SUM(3816+2050)*B45</f>
        <v>58660</v>
      </c>
      <c r="AR45" s="309">
        <f>AO45+AP45+AQ45</f>
        <v>237800</v>
      </c>
      <c r="AS45" s="309">
        <f>230*B45</f>
        <v>2300</v>
      </c>
      <c r="AT45" s="309">
        <f>AS45*16%</f>
        <v>368</v>
      </c>
      <c r="AU45" s="311">
        <f>AR45+AS45+AT45</f>
        <v>240468</v>
      </c>
    </row>
    <row r="46" spans="2:47" s="281" customFormat="1" ht="12.75" customHeight="1">
      <c r="B46" s="292">
        <v>6</v>
      </c>
      <c r="C46" s="293"/>
      <c r="D46" s="294"/>
      <c r="E46" s="294"/>
      <c r="F46" s="312" t="s">
        <v>614</v>
      </c>
      <c r="G46" s="296"/>
      <c r="H46" s="301"/>
      <c r="I46" s="301"/>
      <c r="J46" s="301"/>
      <c r="K46" s="301"/>
      <c r="L46" s="301"/>
      <c r="M46" s="298">
        <v>46404</v>
      </c>
      <c r="N46" s="303" t="s">
        <v>761</v>
      </c>
      <c r="O46" s="323" t="s">
        <v>616</v>
      </c>
      <c r="P46" s="302">
        <v>0.74097222222222225</v>
      </c>
      <c r="Q46" s="302">
        <v>0.8125</v>
      </c>
      <c r="R46" s="301">
        <v>46405</v>
      </c>
      <c r="S46" s="302" t="s">
        <v>640</v>
      </c>
      <c r="T46" s="303" t="s">
        <v>641</v>
      </c>
      <c r="U46" s="302">
        <v>0.36805555555555558</v>
      </c>
      <c r="V46" s="302">
        <v>0.65069444444444446</v>
      </c>
      <c r="W46" s="304">
        <v>46408</v>
      </c>
      <c r="X46" s="305" t="s">
        <v>642</v>
      </c>
      <c r="Y46" s="305" t="s">
        <v>643</v>
      </c>
      <c r="Z46" s="305">
        <v>0.70277777777777772</v>
      </c>
      <c r="AA46" s="305">
        <v>0.82986111111111116</v>
      </c>
      <c r="AB46" s="322">
        <v>46409</v>
      </c>
      <c r="AC46" s="314" t="s">
        <v>762</v>
      </c>
      <c r="AD46" s="314" t="s">
        <v>618</v>
      </c>
      <c r="AE46" s="305">
        <v>0.3611111111111111</v>
      </c>
      <c r="AF46" s="305">
        <v>0.42708333333333331</v>
      </c>
      <c r="AG46" s="305"/>
      <c r="AH46" s="305"/>
      <c r="AI46" s="305"/>
      <c r="AJ46" s="305"/>
      <c r="AK46" s="305"/>
      <c r="AL46" s="319" t="s">
        <v>636</v>
      </c>
      <c r="AM46" s="315"/>
      <c r="AN46" s="316"/>
      <c r="AO46" s="309">
        <f>17225*B46</f>
        <v>103350</v>
      </c>
      <c r="AP46" s="309">
        <f>690*B46</f>
        <v>4140</v>
      </c>
      <c r="AQ46" s="309">
        <f>SUM(3791+2050)*B46</f>
        <v>35046</v>
      </c>
      <c r="AR46" s="309">
        <f>AO46+AP46+AQ46</f>
        <v>142536</v>
      </c>
      <c r="AS46" s="309">
        <f>230*B46</f>
        <v>1380</v>
      </c>
      <c r="AT46" s="309">
        <f>AS46*16%</f>
        <v>220.8</v>
      </c>
      <c r="AU46" s="311">
        <f>AR46+AS46+AT46</f>
        <v>144136.79999999999</v>
      </c>
    </row>
    <row r="47" spans="2:47" s="281" customFormat="1" ht="12.75" customHeight="1">
      <c r="B47" s="292">
        <v>3</v>
      </c>
      <c r="C47" s="293"/>
      <c r="D47" s="294"/>
      <c r="E47" s="294"/>
      <c r="F47" s="312" t="s">
        <v>619</v>
      </c>
      <c r="G47" s="296" t="s">
        <v>763</v>
      </c>
      <c r="H47" s="298">
        <v>46404</v>
      </c>
      <c r="I47" s="301" t="s">
        <v>514</v>
      </c>
      <c r="J47" s="303" t="s">
        <v>764</v>
      </c>
      <c r="K47" s="300">
        <v>0.57291666666666663</v>
      </c>
      <c r="L47" s="300">
        <v>0.63541666666666663</v>
      </c>
      <c r="M47" s="298">
        <v>46404</v>
      </c>
      <c r="N47" s="303" t="s">
        <v>757</v>
      </c>
      <c r="O47" s="303" t="s">
        <v>758</v>
      </c>
      <c r="P47" s="302">
        <v>0.73888888888888893</v>
      </c>
      <c r="Q47" s="302">
        <v>0.79166666666666663</v>
      </c>
      <c r="R47" s="301">
        <v>46405</v>
      </c>
      <c r="S47" s="302" t="s">
        <v>640</v>
      </c>
      <c r="T47" s="303" t="s">
        <v>641</v>
      </c>
      <c r="U47" s="302">
        <v>0.36805555555555558</v>
      </c>
      <c r="V47" s="302">
        <v>0.65069444444444446</v>
      </c>
      <c r="W47" s="304">
        <v>46408</v>
      </c>
      <c r="X47" s="305" t="s">
        <v>642</v>
      </c>
      <c r="Y47" s="305" t="s">
        <v>643</v>
      </c>
      <c r="Z47" s="305">
        <v>0.70277777777777772</v>
      </c>
      <c r="AA47" s="305">
        <v>0.82986111111111116</v>
      </c>
      <c r="AB47" s="322">
        <v>46409</v>
      </c>
      <c r="AC47" s="314" t="s">
        <v>759</v>
      </c>
      <c r="AD47" s="314" t="s">
        <v>760</v>
      </c>
      <c r="AE47" s="305">
        <v>0.34375</v>
      </c>
      <c r="AF47" s="305">
        <v>0.39027777777777778</v>
      </c>
      <c r="AG47" s="322">
        <v>46409</v>
      </c>
      <c r="AH47" s="305" t="s">
        <v>514</v>
      </c>
      <c r="AI47" s="305" t="s">
        <v>765</v>
      </c>
      <c r="AJ47" s="305">
        <v>0.51041666666666663</v>
      </c>
      <c r="AK47" s="305">
        <v>0.5756944444444444</v>
      </c>
      <c r="AL47" s="319" t="s">
        <v>766</v>
      </c>
      <c r="AM47" s="315"/>
      <c r="AN47" s="316"/>
      <c r="AO47" s="309">
        <f>SUM(908+17225)*B47</f>
        <v>54399</v>
      </c>
      <c r="AP47" s="309">
        <f>689*B47</f>
        <v>2067</v>
      </c>
      <c r="AQ47" s="309">
        <f>3816*B47</f>
        <v>11448</v>
      </c>
      <c r="AR47" s="309">
        <f>AO47+AP47+AQ47</f>
        <v>67914</v>
      </c>
      <c r="AS47" s="309">
        <f>230*B47</f>
        <v>690</v>
      </c>
      <c r="AT47" s="309">
        <f>AS47*16%</f>
        <v>110.4</v>
      </c>
      <c r="AU47" s="311">
        <f>AR47+AS47+AT47</f>
        <v>68714.399999999994</v>
      </c>
    </row>
    <row r="48" spans="2:47" s="281" customFormat="1" ht="12.75" customHeight="1">
      <c r="B48" s="324">
        <v>1</v>
      </c>
      <c r="C48" s="325"/>
      <c r="D48" s="326"/>
      <c r="E48" s="326"/>
      <c r="F48" s="327" t="s">
        <v>623</v>
      </c>
      <c r="G48" s="328" t="s">
        <v>767</v>
      </c>
      <c r="H48" s="329"/>
      <c r="I48" s="329"/>
      <c r="J48" s="330"/>
      <c r="K48" s="331"/>
      <c r="L48" s="331"/>
      <c r="M48" s="329">
        <v>46405</v>
      </c>
      <c r="N48" s="330" t="s">
        <v>768</v>
      </c>
      <c r="O48" s="330" t="s">
        <v>769</v>
      </c>
      <c r="P48" s="333">
        <v>0.35416666666666669</v>
      </c>
      <c r="Q48" s="333">
        <v>0.54166666666666663</v>
      </c>
      <c r="R48" s="329">
        <v>46405</v>
      </c>
      <c r="S48" s="333" t="s">
        <v>665</v>
      </c>
      <c r="T48" s="330" t="s">
        <v>666</v>
      </c>
      <c r="U48" s="333">
        <v>0.69861111111111107</v>
      </c>
      <c r="V48" s="333">
        <v>0.92638888888888893</v>
      </c>
      <c r="W48" s="334">
        <v>46408</v>
      </c>
      <c r="X48" s="335" t="s">
        <v>667</v>
      </c>
      <c r="Y48" s="335" t="s">
        <v>668</v>
      </c>
      <c r="Z48" s="335">
        <v>0.25</v>
      </c>
      <c r="AA48" s="335">
        <v>0.37916666666666665</v>
      </c>
      <c r="AB48" s="334">
        <v>46408</v>
      </c>
      <c r="AC48" s="336" t="s">
        <v>770</v>
      </c>
      <c r="AD48" s="336" t="s">
        <v>771</v>
      </c>
      <c r="AE48" s="335">
        <v>0.54166666666666663</v>
      </c>
      <c r="AF48" s="335">
        <v>0.72916666666666663</v>
      </c>
      <c r="AG48" s="337"/>
      <c r="AH48" s="335"/>
      <c r="AI48" s="335"/>
      <c r="AJ48" s="335"/>
      <c r="AK48" s="335"/>
      <c r="AL48" s="338" t="s">
        <v>772</v>
      </c>
      <c r="AM48" s="339"/>
      <c r="AN48" s="340"/>
      <c r="AO48" s="341">
        <f>4800*B48</f>
        <v>4800</v>
      </c>
      <c r="AP48" s="341">
        <f>192*B48</f>
        <v>192</v>
      </c>
      <c r="AQ48" s="341">
        <f>SUM(3576+1100)*B48</f>
        <v>4676</v>
      </c>
      <c r="AR48" s="341">
        <f>AO48+AP48+AQ48</f>
        <v>9668</v>
      </c>
      <c r="AS48" s="341">
        <f>230*B48</f>
        <v>230</v>
      </c>
      <c r="AT48" s="341">
        <f>AS48*16%</f>
        <v>36.800000000000004</v>
      </c>
      <c r="AU48" s="342">
        <f>AR48+AS48+AT48</f>
        <v>9934.7999999999993</v>
      </c>
    </row>
    <row r="49" spans="2:56" ht="12.75" customHeight="1">
      <c r="AL49" s="493" t="s">
        <v>626</v>
      </c>
      <c r="AM49" s="494"/>
      <c r="AN49" s="495"/>
      <c r="AO49" s="343">
        <f>SUM(AO9:AO48)</f>
        <v>5263741</v>
      </c>
      <c r="AP49" s="343">
        <f>SUM(AP9:AP48)</f>
        <v>214265</v>
      </c>
      <c r="AQ49" s="343">
        <f>SUM(AQ9:AQ48)</f>
        <v>2076145</v>
      </c>
      <c r="AR49" s="343">
        <f>SUM(AR9:AR48)</f>
        <v>7554151</v>
      </c>
      <c r="AS49" s="343">
        <f>SUM(AS9:AS48)</f>
        <v>95220</v>
      </c>
      <c r="AT49" s="343">
        <f>SUM(AT9:AT48)</f>
        <v>15235.2</v>
      </c>
      <c r="AU49" s="343">
        <f>SUM(AU9:AU48)</f>
        <v>7664606.1999999974</v>
      </c>
    </row>
    <row r="50" spans="2:56" s="282" customFormat="1" ht="12.75">
      <c r="B50" s="344"/>
      <c r="AL50" s="285"/>
      <c r="AM50" s="285"/>
      <c r="AN50" s="285"/>
      <c r="AO50" s="345"/>
      <c r="AP50" s="345"/>
      <c r="AQ50" s="345"/>
      <c r="AR50" s="345"/>
      <c r="AS50" s="345"/>
      <c r="AT50" s="345"/>
      <c r="AU50" s="345"/>
    </row>
    <row r="51" spans="2:56" ht="12.75">
      <c r="B51" s="286"/>
      <c r="C51" s="487" t="s">
        <v>627</v>
      </c>
      <c r="D51" s="488"/>
      <c r="E51" s="488"/>
      <c r="F51" s="489"/>
      <c r="AT51" s="287"/>
    </row>
    <row r="52" spans="2:56" ht="12.75" customHeight="1">
      <c r="B52" s="286"/>
      <c r="C52" s="280" t="s">
        <v>400</v>
      </c>
      <c r="D52" s="280" t="s">
        <v>400</v>
      </c>
      <c r="H52" s="487" t="s">
        <v>401</v>
      </c>
      <c r="I52" s="488"/>
      <c r="J52" s="488"/>
      <c r="K52" s="488"/>
      <c r="L52" s="488"/>
      <c r="M52" s="488"/>
      <c r="N52" s="488"/>
      <c r="O52" s="488"/>
      <c r="P52" s="488"/>
      <c r="Q52" s="489"/>
      <c r="R52" s="288"/>
      <c r="S52" s="288"/>
      <c r="T52" s="288"/>
      <c r="U52" s="288"/>
      <c r="V52" s="288"/>
      <c r="W52" s="487" t="s">
        <v>402</v>
      </c>
      <c r="X52" s="488"/>
      <c r="Y52" s="488"/>
      <c r="Z52" s="488"/>
      <c r="AA52" s="488"/>
      <c r="AB52" s="488"/>
      <c r="AC52" s="488"/>
      <c r="AD52" s="488"/>
      <c r="AE52" s="488"/>
      <c r="AF52" s="488"/>
      <c r="AG52" s="488"/>
      <c r="AH52" s="488"/>
      <c r="AI52" s="488"/>
      <c r="AJ52" s="488"/>
      <c r="AK52" s="489"/>
      <c r="AT52" s="287"/>
    </row>
    <row r="53" spans="2:56" ht="27">
      <c r="B53" s="346" t="s">
        <v>403</v>
      </c>
      <c r="C53" s="347" t="s">
        <v>404</v>
      </c>
      <c r="D53" s="348" t="s">
        <v>405</v>
      </c>
      <c r="E53" s="348" t="s">
        <v>406</v>
      </c>
      <c r="F53" s="348" t="s">
        <v>407</v>
      </c>
      <c r="G53" s="348" t="s">
        <v>408</v>
      </c>
      <c r="H53" s="348"/>
      <c r="I53" s="348"/>
      <c r="J53" s="348"/>
      <c r="K53" s="348"/>
      <c r="L53" s="348"/>
      <c r="M53" s="348" t="s">
        <v>409</v>
      </c>
      <c r="N53" s="348" t="s">
        <v>410</v>
      </c>
      <c r="O53" s="348" t="s">
        <v>411</v>
      </c>
      <c r="P53" s="348" t="s">
        <v>412</v>
      </c>
      <c r="Q53" s="348" t="s">
        <v>413</v>
      </c>
      <c r="R53" s="348"/>
      <c r="S53" s="348"/>
      <c r="T53" s="348"/>
      <c r="U53" s="348"/>
      <c r="V53" s="349"/>
      <c r="W53" s="350" t="s">
        <v>409</v>
      </c>
      <c r="X53" s="351" t="s">
        <v>410</v>
      </c>
      <c r="Y53" s="351" t="s">
        <v>411</v>
      </c>
      <c r="Z53" s="351" t="s">
        <v>412</v>
      </c>
      <c r="AA53" s="351" t="s">
        <v>413</v>
      </c>
      <c r="AB53" s="351" t="s">
        <v>409</v>
      </c>
      <c r="AC53" s="351" t="s">
        <v>410</v>
      </c>
      <c r="AD53" s="351" t="s">
        <v>411</v>
      </c>
      <c r="AE53" s="351" t="s">
        <v>412</v>
      </c>
      <c r="AF53" s="351" t="s">
        <v>413</v>
      </c>
      <c r="AG53" s="351" t="s">
        <v>409</v>
      </c>
      <c r="AH53" s="351" t="s">
        <v>410</v>
      </c>
      <c r="AI53" s="351" t="s">
        <v>411</v>
      </c>
      <c r="AJ53" s="351" t="s">
        <v>412</v>
      </c>
      <c r="AK53" s="351" t="s">
        <v>413</v>
      </c>
      <c r="AL53" s="347" t="s">
        <v>414</v>
      </c>
      <c r="AM53" s="348" t="s">
        <v>415</v>
      </c>
      <c r="AN53" s="348" t="s">
        <v>416</v>
      </c>
      <c r="AO53" s="348" t="s">
        <v>417</v>
      </c>
      <c r="AP53" s="348" t="s">
        <v>418</v>
      </c>
      <c r="AQ53" s="348" t="s">
        <v>419</v>
      </c>
      <c r="AR53" s="352" t="s">
        <v>70</v>
      </c>
      <c r="AS53" s="348" t="s">
        <v>420</v>
      </c>
      <c r="AT53" s="348" t="s">
        <v>418</v>
      </c>
      <c r="AU53" s="352" t="s">
        <v>70</v>
      </c>
    </row>
    <row r="54" spans="2:56" s="281" customFormat="1" ht="12.75" customHeight="1">
      <c r="B54" s="353">
        <v>1</v>
      </c>
      <c r="C54" s="354"/>
      <c r="D54" s="355"/>
      <c r="E54" s="355"/>
      <c r="F54" s="356"/>
      <c r="G54" s="357"/>
      <c r="H54" s="358"/>
      <c r="I54" s="358"/>
      <c r="J54" s="358"/>
      <c r="K54" s="358"/>
      <c r="L54" s="358"/>
      <c r="M54" s="359"/>
      <c r="N54" s="359"/>
      <c r="O54" s="359"/>
      <c r="P54" s="360"/>
      <c r="Q54" s="360"/>
      <c r="R54" s="360"/>
      <c r="S54" s="360"/>
      <c r="T54" s="360"/>
      <c r="U54" s="360"/>
      <c r="V54" s="360"/>
      <c r="W54" s="361"/>
      <c r="X54" s="361"/>
      <c r="Y54" s="361"/>
      <c r="Z54" s="361"/>
      <c r="AA54" s="361"/>
      <c r="AB54" s="362"/>
      <c r="AC54" s="363"/>
      <c r="AD54" s="363"/>
      <c r="AE54" s="361"/>
      <c r="AF54" s="361"/>
      <c r="AG54" s="361"/>
      <c r="AH54" s="361"/>
      <c r="AI54" s="361"/>
      <c r="AJ54" s="361"/>
      <c r="AK54" s="361"/>
      <c r="AL54" s="364"/>
      <c r="AM54" s="365"/>
      <c r="AN54" s="366"/>
      <c r="AO54" s="367"/>
      <c r="AP54" s="367"/>
      <c r="AQ54" s="367"/>
      <c r="AR54" s="368"/>
      <c r="AS54" s="369"/>
      <c r="AT54" s="369"/>
      <c r="AU54" s="310"/>
    </row>
    <row r="55" spans="2:56" s="281" customFormat="1" ht="12.75" customHeight="1">
      <c r="B55" s="370">
        <v>2</v>
      </c>
      <c r="C55" s="325"/>
      <c r="D55" s="326"/>
      <c r="E55" s="326"/>
      <c r="F55" s="327"/>
      <c r="G55" s="327"/>
      <c r="H55" s="371"/>
      <c r="I55" s="371"/>
      <c r="J55" s="371"/>
      <c r="K55" s="371"/>
      <c r="L55" s="371"/>
      <c r="M55" s="330"/>
      <c r="N55" s="372"/>
      <c r="O55" s="372"/>
      <c r="P55" s="333"/>
      <c r="Q55" s="333"/>
      <c r="R55" s="333"/>
      <c r="S55" s="333"/>
      <c r="T55" s="333"/>
      <c r="U55" s="333"/>
      <c r="V55" s="333"/>
      <c r="W55" s="335"/>
      <c r="X55" s="335"/>
      <c r="Y55" s="335"/>
      <c r="Z55" s="335"/>
      <c r="AA55" s="335"/>
      <c r="AB55" s="373"/>
      <c r="AC55" s="336"/>
      <c r="AD55" s="336"/>
      <c r="AE55" s="335"/>
      <c r="AF55" s="335"/>
      <c r="AG55" s="335"/>
      <c r="AH55" s="335"/>
      <c r="AI55" s="335"/>
      <c r="AJ55" s="335"/>
      <c r="AK55" s="335"/>
      <c r="AL55" s="341"/>
      <c r="AM55" s="339"/>
      <c r="AN55" s="340"/>
      <c r="AO55" s="374"/>
      <c r="AP55" s="374"/>
      <c r="AQ55" s="374"/>
      <c r="AR55" s="374"/>
      <c r="AS55" s="375"/>
      <c r="AT55" s="375"/>
      <c r="AU55" s="310">
        <f>SUM(AR55:AT55)</f>
        <v>0</v>
      </c>
    </row>
    <row r="56" spans="2:56" ht="12.75">
      <c r="AL56" s="493" t="s">
        <v>626</v>
      </c>
      <c r="AM56" s="494"/>
      <c r="AN56" s="495"/>
      <c r="AO56" s="343">
        <f>SUM(AO54:AO55)</f>
        <v>0</v>
      </c>
      <c r="AP56" s="343">
        <f>SUM(AP54:AP55)</f>
        <v>0</v>
      </c>
      <c r="AQ56" s="343">
        <f>SUM(AQ54:AQ55)</f>
        <v>0</v>
      </c>
      <c r="AR56" s="343">
        <f>SUM(AR54:AR55)</f>
        <v>0</v>
      </c>
      <c r="AS56" s="343">
        <f>SUM(AS54:AS55)</f>
        <v>0</v>
      </c>
      <c r="AT56" s="343">
        <f>SUM(AT54:AT55)</f>
        <v>0</v>
      </c>
      <c r="AU56" s="343">
        <f>SUM(AU54:AU55)</f>
        <v>0</v>
      </c>
    </row>
    <row r="57" spans="2:56" ht="12.75">
      <c r="B57" s="286"/>
      <c r="C57" s="487" t="s">
        <v>628</v>
      </c>
      <c r="D57" s="488"/>
      <c r="E57" s="488"/>
      <c r="F57" s="489"/>
      <c r="AT57" s="287"/>
    </row>
    <row r="58" spans="2:56" ht="12.75" customHeight="1">
      <c r="B58" s="286"/>
      <c r="C58" s="280" t="s">
        <v>400</v>
      </c>
      <c r="D58" s="280" t="s">
        <v>400</v>
      </c>
      <c r="H58" s="487" t="s">
        <v>401</v>
      </c>
      <c r="I58" s="488"/>
      <c r="J58" s="488"/>
      <c r="K58" s="488"/>
      <c r="L58" s="488"/>
      <c r="M58" s="488"/>
      <c r="N58" s="488"/>
      <c r="O58" s="488"/>
      <c r="P58" s="488"/>
      <c r="Q58" s="489"/>
      <c r="R58" s="288"/>
      <c r="S58" s="288"/>
      <c r="T58" s="288"/>
      <c r="U58" s="288"/>
      <c r="V58" s="288"/>
      <c r="W58" s="487" t="s">
        <v>402</v>
      </c>
      <c r="X58" s="488"/>
      <c r="Y58" s="48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9"/>
      <c r="AT58" s="287"/>
    </row>
    <row r="59" spans="2:56" ht="27">
      <c r="B59" s="346" t="s">
        <v>403</v>
      </c>
      <c r="C59" s="347" t="s">
        <v>404</v>
      </c>
      <c r="D59" s="348" t="s">
        <v>405</v>
      </c>
      <c r="E59" s="348" t="s">
        <v>406</v>
      </c>
      <c r="F59" s="348" t="s">
        <v>407</v>
      </c>
      <c r="G59" s="349" t="s">
        <v>408</v>
      </c>
      <c r="H59" s="350"/>
      <c r="I59" s="351"/>
      <c r="J59" s="351"/>
      <c r="K59" s="351"/>
      <c r="L59" s="351"/>
      <c r="M59" s="376" t="s">
        <v>409</v>
      </c>
      <c r="N59" s="347" t="s">
        <v>410</v>
      </c>
      <c r="O59" s="348" t="s">
        <v>411</v>
      </c>
      <c r="P59" s="348" t="s">
        <v>412</v>
      </c>
      <c r="Q59" s="348" t="s">
        <v>413</v>
      </c>
      <c r="R59" s="348" t="s">
        <v>409</v>
      </c>
      <c r="S59" s="348" t="s">
        <v>410</v>
      </c>
      <c r="T59" s="348" t="s">
        <v>411</v>
      </c>
      <c r="U59" s="348" t="s">
        <v>412</v>
      </c>
      <c r="V59" s="349" t="s">
        <v>413</v>
      </c>
      <c r="W59" s="350" t="s">
        <v>409</v>
      </c>
      <c r="X59" s="351" t="s">
        <v>410</v>
      </c>
      <c r="Y59" s="351" t="s">
        <v>411</v>
      </c>
      <c r="Z59" s="351" t="s">
        <v>412</v>
      </c>
      <c r="AA59" s="351" t="s">
        <v>413</v>
      </c>
      <c r="AB59" s="351" t="s">
        <v>409</v>
      </c>
      <c r="AC59" s="351" t="s">
        <v>410</v>
      </c>
      <c r="AD59" s="351" t="s">
        <v>411</v>
      </c>
      <c r="AE59" s="351" t="s">
        <v>412</v>
      </c>
      <c r="AF59" s="351" t="s">
        <v>413</v>
      </c>
      <c r="AG59" s="351" t="s">
        <v>409</v>
      </c>
      <c r="AH59" s="351" t="s">
        <v>410</v>
      </c>
      <c r="AI59" s="351" t="s">
        <v>411</v>
      </c>
      <c r="AJ59" s="351" t="s">
        <v>412</v>
      </c>
      <c r="AK59" s="351" t="s">
        <v>413</v>
      </c>
      <c r="AL59" s="347" t="s">
        <v>414</v>
      </c>
      <c r="AM59" s="348" t="s">
        <v>415</v>
      </c>
      <c r="AN59" s="348" t="s">
        <v>416</v>
      </c>
      <c r="AO59" s="348" t="s">
        <v>417</v>
      </c>
      <c r="AP59" s="348" t="s">
        <v>418</v>
      </c>
      <c r="AQ59" s="348" t="s">
        <v>419</v>
      </c>
      <c r="AR59" s="352" t="s">
        <v>70</v>
      </c>
      <c r="AS59" s="348" t="s">
        <v>420</v>
      </c>
      <c r="AT59" s="348" t="s">
        <v>418</v>
      </c>
      <c r="AU59" s="352" t="s">
        <v>70</v>
      </c>
    </row>
    <row r="60" spans="2:56" s="281" customFormat="1" ht="12.75" customHeight="1">
      <c r="B60" s="377">
        <v>1</v>
      </c>
      <c r="C60" s="378"/>
      <c r="D60" s="379"/>
      <c r="E60" s="379"/>
      <c r="F60" s="380"/>
      <c r="G60" s="381"/>
      <c r="H60" s="382"/>
      <c r="I60" s="382"/>
      <c r="J60" s="382"/>
      <c r="K60" s="382"/>
      <c r="L60" s="382"/>
      <c r="M60" s="383"/>
      <c r="N60" s="303"/>
      <c r="O60" s="303"/>
      <c r="P60" s="302"/>
      <c r="Q60" s="302"/>
      <c r="R60" s="303"/>
      <c r="S60" s="303"/>
      <c r="T60" s="303"/>
      <c r="U60" s="302"/>
      <c r="V60" s="302"/>
      <c r="W60" s="384"/>
      <c r="X60" s="384"/>
      <c r="Y60" s="385"/>
      <c r="Z60" s="386"/>
      <c r="AA60" s="386"/>
      <c r="AB60" s="387"/>
      <c r="AC60" s="387"/>
      <c r="AD60" s="387"/>
      <c r="AE60" s="387"/>
      <c r="AF60" s="387"/>
      <c r="AG60" s="388"/>
      <c r="AH60" s="388"/>
      <c r="AI60" s="388"/>
      <c r="AJ60" s="388"/>
      <c r="AK60" s="388"/>
      <c r="AL60" s="389"/>
      <c r="AM60" s="389"/>
      <c r="AN60" s="389"/>
      <c r="AO60" s="310">
        <v>0</v>
      </c>
      <c r="AP60" s="310">
        <v>0</v>
      </c>
      <c r="AQ60" s="310">
        <v>0</v>
      </c>
      <c r="AR60" s="310">
        <f>AO60+AP60+AQ60</f>
        <v>0</v>
      </c>
      <c r="AS60" s="310">
        <v>0</v>
      </c>
      <c r="AT60" s="310">
        <f>AS60*16%</f>
        <v>0</v>
      </c>
      <c r="AU60" s="390">
        <f>AR60+AS60+AT60</f>
        <v>0</v>
      </c>
    </row>
    <row r="61" spans="2:56" s="281" customFormat="1" ht="12.75" customHeight="1">
      <c r="B61" s="377">
        <v>2</v>
      </c>
      <c r="C61" s="391"/>
      <c r="D61" s="294"/>
      <c r="E61" s="294"/>
      <c r="F61" s="295"/>
      <c r="G61" s="296"/>
      <c r="H61" s="392"/>
      <c r="I61" s="392"/>
      <c r="J61" s="392"/>
      <c r="K61" s="392"/>
      <c r="L61" s="392"/>
      <c r="M61" s="393"/>
      <c r="N61" s="393"/>
      <c r="O61" s="303"/>
      <c r="P61" s="393"/>
      <c r="Q61" s="393"/>
      <c r="R61" s="303"/>
      <c r="S61" s="303"/>
      <c r="T61" s="303"/>
      <c r="U61" s="302"/>
      <c r="V61" s="302"/>
      <c r="W61" s="304"/>
      <c r="X61" s="314"/>
      <c r="Y61" s="314"/>
      <c r="Z61" s="305"/>
      <c r="AA61" s="305"/>
      <c r="AB61" s="394"/>
      <c r="AC61" s="394"/>
      <c r="AD61" s="394"/>
      <c r="AE61" s="394"/>
      <c r="AF61" s="394"/>
      <c r="AG61" s="394"/>
      <c r="AH61" s="394"/>
      <c r="AI61" s="394"/>
      <c r="AJ61" s="394"/>
      <c r="AK61" s="394"/>
      <c r="AL61" s="395"/>
      <c r="AM61" s="310"/>
      <c r="AN61" s="310"/>
      <c r="AO61" s="310">
        <v>0</v>
      </c>
      <c r="AP61" s="310">
        <v>0</v>
      </c>
      <c r="AQ61" s="310">
        <v>0</v>
      </c>
      <c r="AR61" s="310">
        <f>AO61+AP61+AQ61</f>
        <v>0</v>
      </c>
      <c r="AS61" s="310">
        <v>0</v>
      </c>
      <c r="AT61" s="310">
        <f>AS61*16%</f>
        <v>0</v>
      </c>
      <c r="AU61" s="390">
        <f>AR61+AS61+AT61</f>
        <v>0</v>
      </c>
    </row>
    <row r="62" spans="2:56" ht="12.75">
      <c r="AL62" s="493" t="s">
        <v>626</v>
      </c>
      <c r="AM62" s="494"/>
      <c r="AN62" s="495"/>
      <c r="AO62" s="343">
        <f>SUM(AO60:AO61)</f>
        <v>0</v>
      </c>
      <c r="AP62" s="343">
        <f>SUM(AP60:AP61)</f>
        <v>0</v>
      </c>
      <c r="AQ62" s="343">
        <f>SUM(AQ60:AQ61)</f>
        <v>0</v>
      </c>
      <c r="AR62" s="343">
        <f>SUM(AR60:AR61)</f>
        <v>0</v>
      </c>
      <c r="AS62" s="343">
        <f>SUM(AS60:AS61)</f>
        <v>0</v>
      </c>
      <c r="AT62" s="343">
        <f>SUM(AT60:AT61)</f>
        <v>0</v>
      </c>
      <c r="AU62" s="343">
        <f>SUM(AU60:AU61)</f>
        <v>0</v>
      </c>
    </row>
    <row r="63" spans="2:56" ht="12.75">
      <c r="C63" s="396"/>
      <c r="D63" s="396"/>
      <c r="E63" s="396"/>
      <c r="F63" s="396"/>
      <c r="G63" s="396"/>
      <c r="H63" s="396"/>
      <c r="I63" s="396"/>
      <c r="J63" s="396"/>
      <c r="K63" s="396"/>
      <c r="L63" s="396"/>
      <c r="Q63" s="280" t="s">
        <v>116</v>
      </c>
      <c r="AE63" s="397"/>
      <c r="BD63" s="398"/>
    </row>
    <row r="65" spans="2:58" ht="12.75">
      <c r="BE65" s="399"/>
      <c r="BF65" s="400"/>
    </row>
    <row r="66" spans="2:58" ht="14.45"/>
    <row r="67" spans="2:58" ht="12.75">
      <c r="B67" s="286"/>
      <c r="C67" s="487" t="s">
        <v>629</v>
      </c>
      <c r="D67" s="488"/>
      <c r="E67" s="488"/>
      <c r="F67" s="489"/>
      <c r="AT67" s="287"/>
    </row>
    <row r="68" spans="2:58" ht="12.75" customHeight="1">
      <c r="B68" s="286"/>
      <c r="C68" s="280" t="s">
        <v>400</v>
      </c>
      <c r="D68" s="280" t="s">
        <v>400</v>
      </c>
      <c r="H68" s="487" t="s">
        <v>401</v>
      </c>
      <c r="I68" s="488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9"/>
      <c r="W68" s="487" t="s">
        <v>402</v>
      </c>
      <c r="X68" s="488"/>
      <c r="Y68" s="488"/>
      <c r="Z68" s="488"/>
      <c r="AA68" s="488"/>
      <c r="AB68" s="488"/>
      <c r="AC68" s="488"/>
      <c r="AD68" s="488"/>
      <c r="AE68" s="488"/>
      <c r="AF68" s="488"/>
      <c r="AG68" s="488"/>
      <c r="AH68" s="488"/>
      <c r="AI68" s="488"/>
      <c r="AJ68" s="488"/>
      <c r="AK68" s="489"/>
      <c r="AT68" s="287"/>
    </row>
    <row r="69" spans="2:58" ht="27">
      <c r="B69" s="346" t="s">
        <v>403</v>
      </c>
      <c r="C69" s="347" t="s">
        <v>404</v>
      </c>
      <c r="D69" s="348" t="s">
        <v>405</v>
      </c>
      <c r="E69" s="348" t="s">
        <v>406</v>
      </c>
      <c r="F69" s="348" t="s">
        <v>407</v>
      </c>
      <c r="G69" s="348" t="s">
        <v>408</v>
      </c>
      <c r="H69" s="348"/>
      <c r="I69" s="348"/>
      <c r="J69" s="348"/>
      <c r="K69" s="348"/>
      <c r="L69" s="348"/>
      <c r="M69" s="348" t="s">
        <v>409</v>
      </c>
      <c r="N69" s="348" t="s">
        <v>410</v>
      </c>
      <c r="O69" s="348" t="s">
        <v>411</v>
      </c>
      <c r="P69" s="348" t="s">
        <v>412</v>
      </c>
      <c r="Q69" s="348" t="s">
        <v>413</v>
      </c>
      <c r="R69" s="348" t="s">
        <v>409</v>
      </c>
      <c r="S69" s="348" t="s">
        <v>410</v>
      </c>
      <c r="T69" s="348" t="s">
        <v>411</v>
      </c>
      <c r="U69" s="348" t="s">
        <v>412</v>
      </c>
      <c r="V69" s="348" t="s">
        <v>413</v>
      </c>
      <c r="W69" s="348" t="s">
        <v>409</v>
      </c>
      <c r="X69" s="348" t="s">
        <v>410</v>
      </c>
      <c r="Y69" s="348" t="s">
        <v>411</v>
      </c>
      <c r="Z69" s="348" t="s">
        <v>412</v>
      </c>
      <c r="AA69" s="348" t="s">
        <v>413</v>
      </c>
      <c r="AB69" s="348" t="s">
        <v>409</v>
      </c>
      <c r="AC69" s="348" t="s">
        <v>410</v>
      </c>
      <c r="AD69" s="348" t="s">
        <v>411</v>
      </c>
      <c r="AE69" s="348" t="s">
        <v>412</v>
      </c>
      <c r="AF69" s="348" t="s">
        <v>413</v>
      </c>
      <c r="AG69" s="348"/>
      <c r="AH69" s="348"/>
      <c r="AI69" s="348"/>
      <c r="AJ69" s="348"/>
      <c r="AK69" s="348"/>
      <c r="AL69" s="348" t="s">
        <v>414</v>
      </c>
      <c r="AM69" s="348" t="s">
        <v>415</v>
      </c>
      <c r="AN69" s="348" t="s">
        <v>416</v>
      </c>
      <c r="AO69" s="348" t="s">
        <v>417</v>
      </c>
      <c r="AP69" s="348" t="s">
        <v>418</v>
      </c>
      <c r="AQ69" s="348" t="s">
        <v>419</v>
      </c>
      <c r="AR69" s="352" t="s">
        <v>70</v>
      </c>
      <c r="AS69" s="348" t="s">
        <v>420</v>
      </c>
      <c r="AT69" s="348" t="s">
        <v>418</v>
      </c>
      <c r="AU69" s="352" t="s">
        <v>70</v>
      </c>
    </row>
    <row r="70" spans="2:58" ht="13.5">
      <c r="B70" s="353">
        <v>1</v>
      </c>
      <c r="C70" s="354"/>
      <c r="D70" s="355"/>
      <c r="E70" s="355"/>
      <c r="F70" s="356"/>
      <c r="G70" s="357"/>
      <c r="H70" s="358"/>
      <c r="I70" s="358"/>
      <c r="J70" s="358"/>
      <c r="K70" s="358"/>
      <c r="L70" s="358"/>
      <c r="M70" s="301">
        <v>46405</v>
      </c>
      <c r="N70" s="303" t="s">
        <v>655</v>
      </c>
      <c r="O70" s="303" t="s">
        <v>656</v>
      </c>
      <c r="P70" s="302">
        <v>0.24652777777777779</v>
      </c>
      <c r="Q70" s="302">
        <v>0.44305555555555554</v>
      </c>
      <c r="R70" s="301">
        <v>46405</v>
      </c>
      <c r="S70" s="302" t="s">
        <v>657</v>
      </c>
      <c r="T70" s="303" t="s">
        <v>658</v>
      </c>
      <c r="U70" s="302">
        <v>0.47291666666666665</v>
      </c>
      <c r="V70" s="302">
        <v>0.62222222222222223</v>
      </c>
      <c r="W70" s="304">
        <v>46408</v>
      </c>
      <c r="X70" s="305" t="s">
        <v>659</v>
      </c>
      <c r="Y70" s="305" t="s">
        <v>660</v>
      </c>
      <c r="Z70" s="305">
        <v>0.52638888888888891</v>
      </c>
      <c r="AA70" s="305">
        <v>0.6020833333333333</v>
      </c>
      <c r="AB70" s="304">
        <v>46408</v>
      </c>
      <c r="AC70" s="314" t="s">
        <v>661</v>
      </c>
      <c r="AD70" s="314" t="s">
        <v>662</v>
      </c>
      <c r="AE70" s="305">
        <v>0.68402777777777779</v>
      </c>
      <c r="AF70" s="305">
        <v>0.80555555555555558</v>
      </c>
      <c r="AG70" s="305"/>
      <c r="AH70" s="305"/>
      <c r="AI70" s="305"/>
      <c r="AJ70" s="305"/>
      <c r="AK70" s="305"/>
      <c r="AL70" s="319" t="s">
        <v>663</v>
      </c>
      <c r="AM70" s="315"/>
      <c r="AN70" s="316"/>
      <c r="AO70" s="309">
        <f>15511*B70</f>
        <v>15511</v>
      </c>
      <c r="AP70" s="309">
        <f>621*B70</f>
        <v>621</v>
      </c>
      <c r="AQ70" s="309">
        <f>4975*B70</f>
        <v>4975</v>
      </c>
      <c r="AR70" s="309">
        <f>AO70+AP70+AQ70</f>
        <v>21107</v>
      </c>
      <c r="AS70" s="309">
        <f>230*B70</f>
        <v>230</v>
      </c>
      <c r="AT70" s="309">
        <f>AS70*16%</f>
        <v>36.800000000000004</v>
      </c>
      <c r="AU70" s="311">
        <f>AR70+AS70+AT70</f>
        <v>21373.8</v>
      </c>
      <c r="AV70" s="281"/>
      <c r="AW70" s="281"/>
      <c r="AX70" s="281"/>
      <c r="AY70" s="281"/>
      <c r="AZ70" s="281"/>
    </row>
    <row r="71" spans="2:58" ht="13.5">
      <c r="B71" s="401">
        <v>1</v>
      </c>
      <c r="C71" s="293"/>
      <c r="D71" s="294"/>
      <c r="E71" s="294"/>
      <c r="F71" s="312"/>
      <c r="G71" s="296"/>
      <c r="H71" s="392"/>
      <c r="I71" s="392"/>
      <c r="J71" s="392"/>
      <c r="K71" s="392"/>
      <c r="L71" s="392"/>
      <c r="M71" s="301">
        <v>46405</v>
      </c>
      <c r="N71" s="303" t="s">
        <v>655</v>
      </c>
      <c r="O71" s="303" t="s">
        <v>656</v>
      </c>
      <c r="P71" s="302">
        <v>0.24652777777777779</v>
      </c>
      <c r="Q71" s="302">
        <v>0.44305555555555554</v>
      </c>
      <c r="R71" s="301">
        <v>46405</v>
      </c>
      <c r="S71" s="302" t="s">
        <v>657</v>
      </c>
      <c r="T71" s="303" t="s">
        <v>658</v>
      </c>
      <c r="U71" s="302">
        <v>0.47291666666666665</v>
      </c>
      <c r="V71" s="302">
        <v>0.62222222222222223</v>
      </c>
      <c r="W71" s="304">
        <v>46408</v>
      </c>
      <c r="X71" s="305" t="s">
        <v>659</v>
      </c>
      <c r="Y71" s="305" t="s">
        <v>660</v>
      </c>
      <c r="Z71" s="305">
        <v>0.52638888888888891</v>
      </c>
      <c r="AA71" s="305">
        <v>0.6020833333333333</v>
      </c>
      <c r="AB71" s="304">
        <v>46408</v>
      </c>
      <c r="AC71" s="314" t="s">
        <v>661</v>
      </c>
      <c r="AD71" s="314" t="s">
        <v>662</v>
      </c>
      <c r="AE71" s="305">
        <v>0.68402777777777779</v>
      </c>
      <c r="AF71" s="305">
        <v>0.80555555555555558</v>
      </c>
      <c r="AG71" s="305"/>
      <c r="AH71" s="305"/>
      <c r="AI71" s="305"/>
      <c r="AJ71" s="305"/>
      <c r="AK71" s="305"/>
      <c r="AL71" s="319" t="s">
        <v>663</v>
      </c>
      <c r="AM71" s="315"/>
      <c r="AN71" s="316"/>
      <c r="AO71" s="309">
        <f>15511*B71</f>
        <v>15511</v>
      </c>
      <c r="AP71" s="309">
        <f>621*B71</f>
        <v>621</v>
      </c>
      <c r="AQ71" s="309">
        <f>4975*B71</f>
        <v>4975</v>
      </c>
      <c r="AR71" s="309">
        <f>AO71+AP71+AQ71</f>
        <v>21107</v>
      </c>
      <c r="AS71" s="309">
        <f>230*B71</f>
        <v>230</v>
      </c>
      <c r="AT71" s="309">
        <f>AS71*16%</f>
        <v>36.800000000000004</v>
      </c>
      <c r="AU71" s="311">
        <f>AR71+AS71+AT71</f>
        <v>21373.8</v>
      </c>
      <c r="AV71" s="281"/>
      <c r="AW71" s="281"/>
      <c r="AX71" s="281"/>
      <c r="AY71" s="281"/>
      <c r="AZ71" s="281"/>
    </row>
    <row r="72" spans="2:58" ht="12.75" customHeight="1">
      <c r="AL72" s="496" t="s">
        <v>626</v>
      </c>
      <c r="AM72" s="497"/>
      <c r="AN72" s="498"/>
      <c r="AO72" s="343">
        <f>SUM(AO70:AO71)</f>
        <v>31022</v>
      </c>
      <c r="AP72" s="343">
        <f>SUM(AP70:AP71)</f>
        <v>1242</v>
      </c>
      <c r="AQ72" s="343">
        <f>SUM(AQ70:AQ71)</f>
        <v>9950</v>
      </c>
      <c r="AR72" s="343">
        <f>SUM(AR70:AR71)</f>
        <v>42214</v>
      </c>
      <c r="AS72" s="343">
        <f>SUM(AS70:AS71)</f>
        <v>460</v>
      </c>
      <c r="AT72" s="343">
        <f>SUM(AT70:AT71)</f>
        <v>73.600000000000009</v>
      </c>
      <c r="AU72" s="343">
        <f>SUM(AU70:AU71)</f>
        <v>42747.6</v>
      </c>
    </row>
    <row r="73" spans="2:58" ht="12.75">
      <c r="C73" s="396"/>
      <c r="D73" s="396"/>
      <c r="E73" s="396"/>
      <c r="F73" s="396"/>
      <c r="G73" s="396"/>
      <c r="H73" s="396"/>
      <c r="I73" s="396"/>
      <c r="J73" s="396"/>
      <c r="K73" s="396"/>
      <c r="L73" s="396"/>
      <c r="Q73" s="280" t="s">
        <v>116</v>
      </c>
      <c r="AE73" s="397"/>
      <c r="AT73" s="398"/>
    </row>
    <row r="74" spans="2:58" ht="14.45"/>
    <row r="75" spans="2:58" ht="12.75" customHeight="1">
      <c r="AL75" s="496" t="s">
        <v>626</v>
      </c>
      <c r="AM75" s="497"/>
      <c r="AN75" s="498"/>
      <c r="AO75" s="402">
        <f>AO62+AO72</f>
        <v>31022</v>
      </c>
      <c r="AP75" s="402">
        <f>AP62+AP72</f>
        <v>1242</v>
      </c>
      <c r="AQ75" s="402">
        <f>AQ62+AQ72</f>
        <v>9950</v>
      </c>
      <c r="AR75" s="402">
        <f>AR62+AR72</f>
        <v>42214</v>
      </c>
      <c r="AS75" s="402">
        <f>AS62+AS72</f>
        <v>460</v>
      </c>
      <c r="AT75" s="402">
        <f>AT62+AT72</f>
        <v>73.600000000000009</v>
      </c>
      <c r="AU75" s="402">
        <f>AU62+AU72</f>
        <v>42747.6</v>
      </c>
    </row>
    <row r="76" spans="2:58" ht="12.75">
      <c r="AU76" s="399">
        <f>AU72-AT72-AP72</f>
        <v>41432</v>
      </c>
      <c r="AV76" s="400" t="s">
        <v>630</v>
      </c>
    </row>
  </sheetData>
  <autoFilter ref="A8:BF49" xr:uid="{96C4F138-78A7-46C1-B21B-5542A3300D62}"/>
  <mergeCells count="20">
    <mergeCell ref="AL72:AN72"/>
    <mergeCell ref="AL75:AN75"/>
    <mergeCell ref="H58:Q58"/>
    <mergeCell ref="W58:AK58"/>
    <mergeCell ref="AL62:AN62"/>
    <mergeCell ref="C67:F67"/>
    <mergeCell ref="H68:V68"/>
    <mergeCell ref="W68:AK68"/>
    <mergeCell ref="AL49:AN49"/>
    <mergeCell ref="C51:F51"/>
    <mergeCell ref="H52:Q52"/>
    <mergeCell ref="W52:AK52"/>
    <mergeCell ref="AL56:AN56"/>
    <mergeCell ref="C57:F57"/>
    <mergeCell ref="B1:AU1"/>
    <mergeCell ref="B2:AU2"/>
    <mergeCell ref="B3:AU3"/>
    <mergeCell ref="C6:F6"/>
    <mergeCell ref="H7:V7"/>
    <mergeCell ref="W7:AK7"/>
  </mergeCells>
  <pageMargins left="0.70866141732283472" right="0.70866141732283472" top="0.74803149606299213" bottom="0.74803149606299213" header="0.31496062992125984" footer="0.31496062992125984"/>
  <pageSetup scale="3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C1C8-BB89-4E9B-A539-C9821031F948}">
  <dimension ref="A1:BF77"/>
  <sheetViews>
    <sheetView workbookViewId="0"/>
  </sheetViews>
  <sheetFormatPr defaultRowHeight="13.9"/>
  <cols>
    <col min="1" max="1" width="2.7109375" style="280" customWidth="1"/>
    <col min="2" max="2" width="4.28515625" style="283" customWidth="1"/>
    <col min="3" max="3" width="14.28515625" style="280" customWidth="1"/>
    <col min="4" max="4" width="16.5703125" style="280" customWidth="1"/>
    <col min="5" max="5" width="18.5703125" style="280" customWidth="1"/>
    <col min="6" max="6" width="15.28515625" style="280" bestFit="1" customWidth="1"/>
    <col min="7" max="7" width="51.5703125" style="280" customWidth="1"/>
    <col min="8" max="12" width="0" style="280" hidden="1" customWidth="1"/>
    <col min="13" max="13" width="13.42578125" style="280" customWidth="1"/>
    <col min="14" max="14" width="11.7109375" style="280" customWidth="1"/>
    <col min="15" max="15" width="10.7109375" style="280" bestFit="1" customWidth="1"/>
    <col min="16" max="16" width="12.28515625" style="280" customWidth="1"/>
    <col min="17" max="17" width="9.28515625" style="280" bestFit="1" customWidth="1"/>
    <col min="18" max="18" width="12.7109375" style="280" bestFit="1" customWidth="1"/>
    <col min="19" max="19" width="9.28515625" style="280" bestFit="1" customWidth="1"/>
    <col min="20" max="20" width="9.85546875" style="280" bestFit="1" customWidth="1"/>
    <col min="21" max="22" width="9.28515625" style="280" bestFit="1" customWidth="1"/>
    <col min="23" max="23" width="12.7109375" style="280" bestFit="1" customWidth="1"/>
    <col min="24" max="24" width="10.7109375" style="280" bestFit="1" customWidth="1"/>
    <col min="25" max="25" width="9.85546875" style="280" bestFit="1" customWidth="1"/>
    <col min="26" max="27" width="9.28515625" style="280" bestFit="1" customWidth="1"/>
    <col min="28" max="28" width="13.42578125" style="280" bestFit="1" customWidth="1"/>
    <col min="29" max="29" width="14.42578125" style="280" bestFit="1" customWidth="1"/>
    <col min="30" max="30" width="15.7109375" style="280" bestFit="1" customWidth="1"/>
    <col min="31" max="31" width="12.5703125" style="280" bestFit="1" customWidth="1"/>
    <col min="32" max="33" width="11.28515625" style="280" customWidth="1"/>
    <col min="34" max="34" width="14.5703125" style="280" bestFit="1" customWidth="1"/>
    <col min="35" max="37" width="11.28515625" style="280" customWidth="1"/>
    <col min="38" max="38" width="44.7109375" style="280" bestFit="1" customWidth="1"/>
    <col min="39" max="39" width="10.7109375" style="280" customWidth="1"/>
    <col min="40" max="40" width="9.7109375" style="280" customWidth="1"/>
    <col min="41" max="41" width="16" style="280" bestFit="1" customWidth="1"/>
    <col min="42" max="42" width="15.28515625" style="280" bestFit="1" customWidth="1"/>
    <col min="43" max="43" width="15.5703125" style="280" bestFit="1" customWidth="1"/>
    <col min="44" max="44" width="17" style="280" bestFit="1" customWidth="1"/>
    <col min="45" max="45" width="14" style="280" bestFit="1" customWidth="1"/>
    <col min="46" max="46" width="13.28515625" style="280" bestFit="1" customWidth="1"/>
    <col min="47" max="47" width="17" style="280" bestFit="1" customWidth="1"/>
    <col min="48" max="48" width="17.5703125" style="280" customWidth="1"/>
    <col min="49" max="49" width="13.7109375" style="280" bestFit="1" customWidth="1"/>
    <col min="50" max="51" width="12.5703125" style="280" bestFit="1" customWidth="1"/>
    <col min="52" max="52" width="14.28515625" style="280" customWidth="1"/>
    <col min="53" max="53" width="12" style="280" customWidth="1"/>
    <col min="54" max="54" width="13" style="280" customWidth="1"/>
    <col min="55" max="56" width="9.28515625" style="280" bestFit="1" customWidth="1"/>
    <col min="57" max="57" width="12.7109375" style="280" customWidth="1"/>
    <col min="58" max="16384" width="9.140625" style="280"/>
  </cols>
  <sheetData>
    <row r="1" spans="1:52" ht="23.25">
      <c r="B1" s="485" t="s">
        <v>397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 s="485"/>
      <c r="AV1" s="284"/>
      <c r="AW1" s="284"/>
      <c r="AX1" s="284"/>
      <c r="AY1" s="284"/>
      <c r="AZ1" s="284"/>
    </row>
    <row r="2" spans="1:52" ht="23.25">
      <c r="B2" s="485" t="s">
        <v>784</v>
      </c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284"/>
      <c r="AW2" s="284"/>
      <c r="AX2" s="284"/>
      <c r="AY2" s="284"/>
      <c r="AZ2" s="284"/>
    </row>
    <row r="3" spans="1:52" ht="12.75">
      <c r="A3" s="283"/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6"/>
      <c r="AE3" s="486"/>
      <c r="AF3" s="486"/>
      <c r="AG3" s="486"/>
      <c r="AH3" s="486"/>
      <c r="AI3" s="486"/>
      <c r="AJ3" s="486"/>
      <c r="AK3" s="486"/>
      <c r="AL3" s="486"/>
      <c r="AM3" s="486"/>
      <c r="AN3" s="486"/>
      <c r="AO3" s="486"/>
      <c r="AP3" s="486"/>
      <c r="AQ3" s="486"/>
      <c r="AR3" s="486"/>
      <c r="AS3" s="486"/>
      <c r="AT3" s="486"/>
      <c r="AU3" s="486"/>
      <c r="AV3" s="284"/>
      <c r="AW3" s="284"/>
      <c r="AX3" s="284"/>
      <c r="AY3" s="284"/>
      <c r="AZ3" s="284"/>
    </row>
    <row r="4" spans="1:52" ht="12.75">
      <c r="B4" s="286"/>
      <c r="AT4" s="287"/>
    </row>
    <row r="5" spans="1:52" ht="12.75">
      <c r="B5" s="286"/>
      <c r="AT5" s="287"/>
    </row>
    <row r="6" spans="1:52" ht="12.75" customHeight="1">
      <c r="B6" s="286"/>
      <c r="C6" s="487" t="s">
        <v>399</v>
      </c>
      <c r="D6" s="488"/>
      <c r="E6" s="488"/>
      <c r="F6" s="489"/>
      <c r="AT6" s="287"/>
    </row>
    <row r="7" spans="1:52" ht="12.75" customHeight="1">
      <c r="B7" s="286"/>
      <c r="C7" s="280" t="s">
        <v>400</v>
      </c>
      <c r="D7" s="280" t="s">
        <v>400</v>
      </c>
      <c r="H7" s="490" t="s">
        <v>401</v>
      </c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2"/>
      <c r="W7" s="490" t="s">
        <v>402</v>
      </c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2"/>
      <c r="AT7" s="287"/>
    </row>
    <row r="8" spans="1:52" ht="27">
      <c r="B8" s="289" t="s">
        <v>403</v>
      </c>
      <c r="C8" s="290" t="s">
        <v>404</v>
      </c>
      <c r="D8" s="290" t="s">
        <v>405</v>
      </c>
      <c r="E8" s="290" t="s">
        <v>406</v>
      </c>
      <c r="F8" s="290" t="s">
        <v>407</v>
      </c>
      <c r="G8" s="290" t="s">
        <v>408</v>
      </c>
      <c r="H8" s="290" t="s">
        <v>409</v>
      </c>
      <c r="I8" s="290" t="s">
        <v>410</v>
      </c>
      <c r="J8" s="290" t="s">
        <v>411</v>
      </c>
      <c r="K8" s="290" t="s">
        <v>412</v>
      </c>
      <c r="L8" s="290" t="s">
        <v>413</v>
      </c>
      <c r="M8" s="290" t="s">
        <v>409</v>
      </c>
      <c r="N8" s="290" t="s">
        <v>410</v>
      </c>
      <c r="O8" s="290" t="s">
        <v>411</v>
      </c>
      <c r="P8" s="290" t="s">
        <v>412</v>
      </c>
      <c r="Q8" s="290" t="s">
        <v>413</v>
      </c>
      <c r="R8" s="290" t="s">
        <v>409</v>
      </c>
      <c r="S8" s="290" t="s">
        <v>410</v>
      </c>
      <c r="T8" s="290" t="s">
        <v>411</v>
      </c>
      <c r="U8" s="290" t="s">
        <v>412</v>
      </c>
      <c r="V8" s="290" t="s">
        <v>413</v>
      </c>
      <c r="W8" s="290" t="s">
        <v>409</v>
      </c>
      <c r="X8" s="290" t="s">
        <v>410</v>
      </c>
      <c r="Y8" s="290" t="s">
        <v>411</v>
      </c>
      <c r="Z8" s="290" t="s">
        <v>412</v>
      </c>
      <c r="AA8" s="290" t="s">
        <v>413</v>
      </c>
      <c r="AB8" s="290" t="s">
        <v>409</v>
      </c>
      <c r="AC8" s="290" t="s">
        <v>410</v>
      </c>
      <c r="AD8" s="290" t="s">
        <v>411</v>
      </c>
      <c r="AE8" s="290" t="s">
        <v>412</v>
      </c>
      <c r="AF8" s="290" t="s">
        <v>413</v>
      </c>
      <c r="AG8" s="290" t="s">
        <v>409</v>
      </c>
      <c r="AH8" s="290" t="s">
        <v>410</v>
      </c>
      <c r="AI8" s="290" t="s">
        <v>411</v>
      </c>
      <c r="AJ8" s="290" t="s">
        <v>412</v>
      </c>
      <c r="AK8" s="290" t="s">
        <v>413</v>
      </c>
      <c r="AL8" s="290" t="s">
        <v>414</v>
      </c>
      <c r="AM8" s="290" t="s">
        <v>415</v>
      </c>
      <c r="AN8" s="290" t="s">
        <v>416</v>
      </c>
      <c r="AO8" s="290" t="s">
        <v>417</v>
      </c>
      <c r="AP8" s="290" t="s">
        <v>418</v>
      </c>
      <c r="AQ8" s="290" t="s">
        <v>419</v>
      </c>
      <c r="AR8" s="290" t="s">
        <v>70</v>
      </c>
      <c r="AS8" s="290" t="s">
        <v>420</v>
      </c>
      <c r="AT8" s="290" t="s">
        <v>418</v>
      </c>
      <c r="AU8" s="291" t="s">
        <v>70</v>
      </c>
    </row>
    <row r="9" spans="1:52" s="281" customFormat="1" ht="12.75" customHeight="1">
      <c r="B9" s="292">
        <v>3</v>
      </c>
      <c r="C9" s="293"/>
      <c r="D9" s="294"/>
      <c r="E9" s="294"/>
      <c r="F9" s="295" t="s">
        <v>421</v>
      </c>
      <c r="G9" s="296" t="s">
        <v>632</v>
      </c>
      <c r="H9" s="297"/>
      <c r="I9" s="297"/>
      <c r="J9" s="297"/>
      <c r="K9" s="297"/>
      <c r="L9" s="297"/>
      <c r="M9" s="301">
        <v>46419</v>
      </c>
      <c r="N9" s="299" t="s">
        <v>785</v>
      </c>
      <c r="O9" s="299" t="s">
        <v>424</v>
      </c>
      <c r="P9" s="300">
        <v>0.4777777777777778</v>
      </c>
      <c r="Q9" s="300">
        <v>0.53125</v>
      </c>
      <c r="R9" s="301">
        <v>46419</v>
      </c>
      <c r="S9" s="302" t="s">
        <v>786</v>
      </c>
      <c r="T9" s="303" t="s">
        <v>787</v>
      </c>
      <c r="U9" s="302">
        <v>0.67361111111111116</v>
      </c>
      <c r="V9" s="302">
        <v>0.73333333333333328</v>
      </c>
      <c r="W9" s="304">
        <v>46422</v>
      </c>
      <c r="X9" s="305" t="s">
        <v>788</v>
      </c>
      <c r="Y9" s="305" t="s">
        <v>789</v>
      </c>
      <c r="Z9" s="305">
        <v>0.43402777777777779</v>
      </c>
      <c r="AA9" s="305">
        <v>0.56944444444444442</v>
      </c>
      <c r="AB9" s="304">
        <v>46422</v>
      </c>
      <c r="AC9" s="306" t="s">
        <v>429</v>
      </c>
      <c r="AD9" s="306" t="s">
        <v>430</v>
      </c>
      <c r="AE9" s="307">
        <v>0.70833333333333337</v>
      </c>
      <c r="AF9" s="307">
        <v>0.75694444444444442</v>
      </c>
      <c r="AG9" s="307"/>
      <c r="AH9" s="308"/>
      <c r="AI9" s="308"/>
      <c r="AJ9" s="308"/>
      <c r="AK9" s="308"/>
      <c r="AL9" s="309" t="s">
        <v>482</v>
      </c>
      <c r="AM9" s="310"/>
      <c r="AN9" s="310"/>
      <c r="AO9" s="309">
        <f>SUM(9100)*B9</f>
        <v>27300</v>
      </c>
      <c r="AP9" s="309">
        <f>SUM(1456)*B9</f>
        <v>4368</v>
      </c>
      <c r="AQ9" s="309">
        <f>SUM(1520+1800)*B9</f>
        <v>9960</v>
      </c>
      <c r="AR9" s="309">
        <f>AO9+AP9+AQ9</f>
        <v>41628</v>
      </c>
      <c r="AS9" s="309">
        <f>230*B9</f>
        <v>690</v>
      </c>
      <c r="AT9" s="309">
        <f>AS9*16%</f>
        <v>110.4</v>
      </c>
      <c r="AU9" s="311">
        <f>AR9+AS9+AT9</f>
        <v>42428.4</v>
      </c>
    </row>
    <row r="10" spans="1:52" s="281" customFormat="1" ht="12.75" customHeight="1">
      <c r="B10" s="292">
        <v>3</v>
      </c>
      <c r="C10" s="293"/>
      <c r="D10" s="294"/>
      <c r="E10" s="294"/>
      <c r="F10" s="312" t="s">
        <v>432</v>
      </c>
      <c r="G10" s="296"/>
      <c r="H10" s="297"/>
      <c r="I10" s="297"/>
      <c r="J10" s="297"/>
      <c r="K10" s="297"/>
      <c r="L10" s="297"/>
      <c r="M10" s="301">
        <v>46419</v>
      </c>
      <c r="N10" s="303" t="s">
        <v>790</v>
      </c>
      <c r="O10" s="303" t="s">
        <v>434</v>
      </c>
      <c r="P10" s="302">
        <v>0.43055555555555558</v>
      </c>
      <c r="Q10" s="302">
        <v>0.4861111111111111</v>
      </c>
      <c r="R10" s="301">
        <v>46419</v>
      </c>
      <c r="S10" s="302" t="s">
        <v>791</v>
      </c>
      <c r="T10" s="303" t="s">
        <v>787</v>
      </c>
      <c r="U10" s="302">
        <v>0.55208333333333337</v>
      </c>
      <c r="V10" s="302">
        <v>0.6118055555555556</v>
      </c>
      <c r="W10" s="304">
        <v>46422</v>
      </c>
      <c r="X10" s="305" t="s">
        <v>788</v>
      </c>
      <c r="Y10" s="305" t="s">
        <v>789</v>
      </c>
      <c r="Z10" s="305">
        <v>0.43402777777777779</v>
      </c>
      <c r="AA10" s="305">
        <v>0.56944444444444442</v>
      </c>
      <c r="AB10" s="304">
        <v>46422</v>
      </c>
      <c r="AC10" s="314" t="s">
        <v>792</v>
      </c>
      <c r="AD10" s="314" t="s">
        <v>647</v>
      </c>
      <c r="AE10" s="305">
        <v>0.625</v>
      </c>
      <c r="AF10" s="305">
        <v>0.68194444444444446</v>
      </c>
      <c r="AG10" s="305"/>
      <c r="AH10" s="305"/>
      <c r="AI10" s="305"/>
      <c r="AJ10" s="305"/>
      <c r="AK10" s="305"/>
      <c r="AL10" s="309" t="s">
        <v>482</v>
      </c>
      <c r="AM10" s="315"/>
      <c r="AN10" s="316"/>
      <c r="AO10" s="309">
        <f>SUM(8100)*B10</f>
        <v>24300</v>
      </c>
      <c r="AP10" s="309">
        <f>SUM(1296)*B10</f>
        <v>3888</v>
      </c>
      <c r="AQ10" s="309">
        <f>SUM(1180+1800)*B10</f>
        <v>8940</v>
      </c>
      <c r="AR10" s="309">
        <f>AO10+AP10+AQ10</f>
        <v>37128</v>
      </c>
      <c r="AS10" s="309">
        <f>230*B10</f>
        <v>690</v>
      </c>
      <c r="AT10" s="309">
        <f>AS10*16%</f>
        <v>110.4</v>
      </c>
      <c r="AU10" s="311">
        <f>AR10+AS10+AT10</f>
        <v>37928.400000000001</v>
      </c>
    </row>
    <row r="11" spans="1:52" s="281" customFormat="1" ht="12.75" customHeight="1">
      <c r="B11" s="292">
        <v>4</v>
      </c>
      <c r="C11" s="293"/>
      <c r="D11" s="294"/>
      <c r="E11" s="294"/>
      <c r="F11" s="312" t="s">
        <v>438</v>
      </c>
      <c r="G11" s="317"/>
      <c r="H11" s="318"/>
      <c r="I11" s="318"/>
      <c r="J11" s="318"/>
      <c r="K11" s="318"/>
      <c r="L11" s="318"/>
      <c r="M11" s="301">
        <v>46419</v>
      </c>
      <c r="N11" s="303" t="s">
        <v>793</v>
      </c>
      <c r="O11" s="303" t="s">
        <v>649</v>
      </c>
      <c r="P11" s="302">
        <v>0.32916666666666666</v>
      </c>
      <c r="Q11" s="302">
        <v>0.37847222222222221</v>
      </c>
      <c r="R11" s="301">
        <v>46419</v>
      </c>
      <c r="S11" s="302" t="s">
        <v>791</v>
      </c>
      <c r="T11" s="303" t="s">
        <v>787</v>
      </c>
      <c r="U11" s="302">
        <v>0.53125</v>
      </c>
      <c r="V11" s="302">
        <v>0.59097222222222223</v>
      </c>
      <c r="W11" s="304">
        <v>46422</v>
      </c>
      <c r="X11" s="305" t="s">
        <v>794</v>
      </c>
      <c r="Y11" s="305" t="s">
        <v>789</v>
      </c>
      <c r="Z11" s="305">
        <v>0.60763888888888884</v>
      </c>
      <c r="AA11" s="305">
        <v>0.74652777777777779</v>
      </c>
      <c r="AB11" s="304">
        <v>46422</v>
      </c>
      <c r="AC11" s="314" t="s">
        <v>795</v>
      </c>
      <c r="AD11" s="314" t="s">
        <v>651</v>
      </c>
      <c r="AE11" s="305">
        <v>0.81944444444444442</v>
      </c>
      <c r="AF11" s="305">
        <v>0.86875000000000002</v>
      </c>
      <c r="AG11" s="305"/>
      <c r="AH11" s="305"/>
      <c r="AI11" s="305"/>
      <c r="AJ11" s="305"/>
      <c r="AK11" s="305"/>
      <c r="AL11" s="309" t="s">
        <v>482</v>
      </c>
      <c r="AM11" s="315"/>
      <c r="AN11" s="316"/>
      <c r="AO11" s="309">
        <f>5728*B11</f>
        <v>22912</v>
      </c>
      <c r="AP11" s="309">
        <f>917*B11</f>
        <v>3668</v>
      </c>
      <c r="AQ11" s="309">
        <f>SUM(1310+1800)*B11</f>
        <v>12440</v>
      </c>
      <c r="AR11" s="309">
        <f>AO11+AP11+AQ11</f>
        <v>39020</v>
      </c>
      <c r="AS11" s="309">
        <f>230*B11</f>
        <v>920</v>
      </c>
      <c r="AT11" s="309">
        <f>AS11*16%</f>
        <v>147.20000000000002</v>
      </c>
      <c r="AU11" s="311">
        <f>AR11+AS11+AT11</f>
        <v>40087.199999999997</v>
      </c>
    </row>
    <row r="12" spans="1:52" s="281" customFormat="1" ht="12.75" customHeight="1">
      <c r="B12" s="292">
        <v>7</v>
      </c>
      <c r="C12" s="293"/>
      <c r="D12" s="294"/>
      <c r="E12" s="294"/>
      <c r="F12" s="312" t="s">
        <v>445</v>
      </c>
      <c r="G12" s="296"/>
      <c r="H12" s="297"/>
      <c r="I12" s="297"/>
      <c r="J12" s="297"/>
      <c r="K12" s="297"/>
      <c r="L12" s="297"/>
      <c r="M12" s="301">
        <v>46419</v>
      </c>
      <c r="N12" s="303" t="s">
        <v>796</v>
      </c>
      <c r="O12" s="303" t="s">
        <v>653</v>
      </c>
      <c r="P12" s="302">
        <v>0.3923611111111111</v>
      </c>
      <c r="Q12" s="302">
        <v>0.48958333333333331</v>
      </c>
      <c r="R12" s="301">
        <v>46419</v>
      </c>
      <c r="S12" s="302" t="s">
        <v>791</v>
      </c>
      <c r="T12" s="303" t="s">
        <v>787</v>
      </c>
      <c r="U12" s="302">
        <v>0.53125</v>
      </c>
      <c r="V12" s="302">
        <v>0.59097222222222223</v>
      </c>
      <c r="W12" s="304">
        <v>46422</v>
      </c>
      <c r="X12" s="305" t="s">
        <v>788</v>
      </c>
      <c r="Y12" s="305" t="s">
        <v>789</v>
      </c>
      <c r="Z12" s="305">
        <v>0.43402777777777779</v>
      </c>
      <c r="AA12" s="305">
        <v>0.56944444444444442</v>
      </c>
      <c r="AB12" s="304">
        <v>46422</v>
      </c>
      <c r="AC12" s="314" t="s">
        <v>633</v>
      </c>
      <c r="AD12" s="314" t="s">
        <v>450</v>
      </c>
      <c r="AE12" s="305">
        <v>0.625</v>
      </c>
      <c r="AF12" s="305">
        <v>0.72777777777777775</v>
      </c>
      <c r="AG12" s="305"/>
      <c r="AH12" s="305"/>
      <c r="AI12" s="305"/>
      <c r="AJ12" s="305"/>
      <c r="AK12" s="305"/>
      <c r="AL12" s="309" t="s">
        <v>451</v>
      </c>
      <c r="AM12" s="315"/>
      <c r="AN12" s="316"/>
      <c r="AO12" s="309">
        <f>SUM(5770)*B12</f>
        <v>40390</v>
      </c>
      <c r="AP12" s="309">
        <f>SUM(924)*B12</f>
        <v>6468</v>
      </c>
      <c r="AQ12" s="309">
        <f>SUM(1472+1800)*B12</f>
        <v>22904</v>
      </c>
      <c r="AR12" s="309">
        <f>AO12+AP12+AQ12</f>
        <v>69762</v>
      </c>
      <c r="AS12" s="309">
        <f>230*B12</f>
        <v>1610</v>
      </c>
      <c r="AT12" s="309">
        <f>AS12*16%</f>
        <v>257.60000000000002</v>
      </c>
      <c r="AU12" s="311">
        <f>AR12+AS12+AT12</f>
        <v>71629.600000000006</v>
      </c>
    </row>
    <row r="13" spans="1:52" s="281" customFormat="1" ht="12.75" customHeight="1">
      <c r="B13" s="292">
        <v>70</v>
      </c>
      <c r="C13" s="293"/>
      <c r="D13" s="294"/>
      <c r="E13" s="294"/>
      <c r="F13" s="312" t="s">
        <v>452</v>
      </c>
      <c r="G13" s="296"/>
      <c r="H13" s="301"/>
      <c r="I13" s="301"/>
      <c r="J13" s="301"/>
      <c r="K13" s="301"/>
      <c r="L13" s="301"/>
      <c r="M13" s="301"/>
      <c r="N13" s="303"/>
      <c r="O13" s="303"/>
      <c r="P13" s="302"/>
      <c r="Q13" s="302"/>
      <c r="R13" s="301">
        <v>46419</v>
      </c>
      <c r="S13" s="302" t="s">
        <v>797</v>
      </c>
      <c r="T13" s="303" t="s">
        <v>787</v>
      </c>
      <c r="U13" s="302">
        <v>0.52777777777777779</v>
      </c>
      <c r="V13" s="302">
        <v>0.57847222222222228</v>
      </c>
      <c r="W13" s="304">
        <v>46422</v>
      </c>
      <c r="X13" s="305" t="s">
        <v>798</v>
      </c>
      <c r="Y13" s="305" t="s">
        <v>789</v>
      </c>
      <c r="Z13" s="305">
        <v>0.63958333333333328</v>
      </c>
      <c r="AA13" s="305">
        <v>0.76736111111111116</v>
      </c>
      <c r="AB13" s="304"/>
      <c r="AC13" s="314"/>
      <c r="AD13" s="314"/>
      <c r="AE13" s="305"/>
      <c r="AF13" s="305"/>
      <c r="AG13" s="305"/>
      <c r="AH13" s="305"/>
      <c r="AI13" s="305"/>
      <c r="AJ13" s="305"/>
      <c r="AK13" s="305"/>
      <c r="AL13" s="319" t="s">
        <v>444</v>
      </c>
      <c r="AM13" s="315"/>
      <c r="AN13" s="316"/>
      <c r="AO13" s="309">
        <f>3794*B13</f>
        <v>265580</v>
      </c>
      <c r="AP13" s="309">
        <f>608*B13</f>
        <v>42560</v>
      </c>
      <c r="AQ13" s="309">
        <f>1482*B13</f>
        <v>103740</v>
      </c>
      <c r="AR13" s="309">
        <f>AO13+AP13+AQ13</f>
        <v>411880</v>
      </c>
      <c r="AS13" s="309">
        <f>230*B13</f>
        <v>16100</v>
      </c>
      <c r="AT13" s="309">
        <f>AS13*16%</f>
        <v>2576</v>
      </c>
      <c r="AU13" s="311">
        <f>AR13+AS13+AT13</f>
        <v>430556</v>
      </c>
    </row>
    <row r="14" spans="1:52" s="281" customFormat="1" ht="12.75" customHeight="1">
      <c r="B14" s="292">
        <v>70</v>
      </c>
      <c r="C14" s="293"/>
      <c r="D14" s="294"/>
      <c r="E14" s="294"/>
      <c r="F14" s="312" t="s">
        <v>452</v>
      </c>
      <c r="G14" s="296"/>
      <c r="H14" s="301"/>
      <c r="I14" s="301"/>
      <c r="J14" s="301"/>
      <c r="K14" s="301"/>
      <c r="L14" s="301"/>
      <c r="M14" s="301"/>
      <c r="N14" s="303"/>
      <c r="O14" s="303"/>
      <c r="P14" s="302"/>
      <c r="Q14" s="302"/>
      <c r="R14" s="301">
        <v>46419</v>
      </c>
      <c r="S14" s="302" t="s">
        <v>799</v>
      </c>
      <c r="T14" s="303" t="s">
        <v>787</v>
      </c>
      <c r="U14" s="302">
        <v>0.57291666666666663</v>
      </c>
      <c r="V14" s="302">
        <v>0.625</v>
      </c>
      <c r="W14" s="304">
        <v>46422</v>
      </c>
      <c r="X14" s="305" t="s">
        <v>800</v>
      </c>
      <c r="Y14" s="305" t="s">
        <v>789</v>
      </c>
      <c r="Z14" s="305">
        <v>0.65138888888888891</v>
      </c>
      <c r="AA14" s="305">
        <v>0.78125</v>
      </c>
      <c r="AB14" s="304"/>
      <c r="AC14" s="314"/>
      <c r="AD14" s="314"/>
      <c r="AE14" s="305"/>
      <c r="AF14" s="305"/>
      <c r="AG14" s="305"/>
      <c r="AH14" s="305"/>
      <c r="AI14" s="305"/>
      <c r="AJ14" s="305"/>
      <c r="AK14" s="305"/>
      <c r="AL14" s="319" t="s">
        <v>457</v>
      </c>
      <c r="AM14" s="315"/>
      <c r="AN14" s="316"/>
      <c r="AO14" s="320">
        <f>5497*B14</f>
        <v>384790</v>
      </c>
      <c r="AP14" s="309">
        <f>880*B14</f>
        <v>61600</v>
      </c>
      <c r="AQ14" s="309">
        <f>SUM(1275+1380)*B14</f>
        <v>185850</v>
      </c>
      <c r="AR14" s="309">
        <f>AO14+AP14+AQ14</f>
        <v>632240</v>
      </c>
      <c r="AS14" s="309">
        <f>230*B14</f>
        <v>16100</v>
      </c>
      <c r="AT14" s="309">
        <f>AS14*16%</f>
        <v>2576</v>
      </c>
      <c r="AU14" s="311">
        <f>AR14+AS14+AT14</f>
        <v>650916</v>
      </c>
    </row>
    <row r="15" spans="1:52" s="281" customFormat="1" ht="12.75" customHeight="1">
      <c r="B15" s="292">
        <v>5</v>
      </c>
      <c r="C15" s="293"/>
      <c r="D15" s="294"/>
      <c r="E15" s="294"/>
      <c r="F15" s="312" t="s">
        <v>458</v>
      </c>
      <c r="G15" s="296"/>
      <c r="H15" s="301"/>
      <c r="I15" s="301"/>
      <c r="J15" s="301"/>
      <c r="K15" s="301"/>
      <c r="L15" s="301"/>
      <c r="M15" s="301">
        <v>46419</v>
      </c>
      <c r="N15" s="303" t="s">
        <v>801</v>
      </c>
      <c r="O15" s="303" t="s">
        <v>671</v>
      </c>
      <c r="P15" s="302">
        <v>0.25</v>
      </c>
      <c r="Q15" s="302">
        <v>0.40625</v>
      </c>
      <c r="R15" s="301">
        <v>46419</v>
      </c>
      <c r="S15" s="302" t="s">
        <v>791</v>
      </c>
      <c r="T15" s="303" t="s">
        <v>787</v>
      </c>
      <c r="U15" s="302">
        <v>0.53125</v>
      </c>
      <c r="V15" s="302">
        <v>0.59097222222222223</v>
      </c>
      <c r="W15" s="304">
        <v>46422</v>
      </c>
      <c r="X15" s="305" t="s">
        <v>788</v>
      </c>
      <c r="Y15" s="305" t="s">
        <v>789</v>
      </c>
      <c r="Z15" s="305">
        <v>0.43402777777777779</v>
      </c>
      <c r="AA15" s="305">
        <v>0.56944444444444442</v>
      </c>
      <c r="AB15" s="304">
        <v>46422</v>
      </c>
      <c r="AC15" s="314" t="s">
        <v>802</v>
      </c>
      <c r="AD15" s="305" t="s">
        <v>673</v>
      </c>
      <c r="AE15" s="305">
        <v>0.63541666666666663</v>
      </c>
      <c r="AF15" s="305">
        <v>0.71527777777777779</v>
      </c>
      <c r="AG15" s="305"/>
      <c r="AH15" s="305"/>
      <c r="AI15" s="305"/>
      <c r="AJ15" s="305"/>
      <c r="AK15" s="305"/>
      <c r="AL15" s="309" t="s">
        <v>482</v>
      </c>
      <c r="AM15" s="315"/>
      <c r="AN15" s="316"/>
      <c r="AO15" s="309">
        <f>6154*B15</f>
        <v>30770</v>
      </c>
      <c r="AP15" s="309">
        <f>985*B15</f>
        <v>4925</v>
      </c>
      <c r="AQ15" s="309">
        <f>SUM(1483+1800)*B15</f>
        <v>16415</v>
      </c>
      <c r="AR15" s="309">
        <f>AO15+AP15+AQ15</f>
        <v>52110</v>
      </c>
      <c r="AS15" s="309">
        <f>230*B15</f>
        <v>1150</v>
      </c>
      <c r="AT15" s="309">
        <f>AS15*16%</f>
        <v>184</v>
      </c>
      <c r="AU15" s="311">
        <f>AR15+AS15+AT15</f>
        <v>53444</v>
      </c>
    </row>
    <row r="16" spans="1:52" s="281" customFormat="1" ht="12.75" customHeight="1">
      <c r="B16" s="292">
        <v>2</v>
      </c>
      <c r="C16" s="293"/>
      <c r="D16" s="294"/>
      <c r="E16" s="294"/>
      <c r="F16" s="312" t="s">
        <v>463</v>
      </c>
      <c r="G16" s="296"/>
      <c r="H16" s="301"/>
      <c r="I16" s="303"/>
      <c r="J16" s="303"/>
      <c r="K16" s="302"/>
      <c r="L16" s="302"/>
      <c r="M16" s="301">
        <v>46419</v>
      </c>
      <c r="N16" s="302" t="s">
        <v>479</v>
      </c>
      <c r="O16" s="303" t="s">
        <v>428</v>
      </c>
      <c r="P16" s="302">
        <v>0.35972222222222222</v>
      </c>
      <c r="Q16" s="302">
        <v>0.4236111111111111</v>
      </c>
      <c r="R16" s="301">
        <v>46419</v>
      </c>
      <c r="S16" s="302" t="s">
        <v>791</v>
      </c>
      <c r="T16" s="303" t="s">
        <v>787</v>
      </c>
      <c r="U16" s="302">
        <v>0.53125</v>
      </c>
      <c r="V16" s="302">
        <v>0.59097222222222223</v>
      </c>
      <c r="W16" s="304">
        <v>46422</v>
      </c>
      <c r="X16" s="314" t="s">
        <v>788</v>
      </c>
      <c r="Y16" s="305" t="s">
        <v>789</v>
      </c>
      <c r="Z16" s="305">
        <v>0.43402777777777779</v>
      </c>
      <c r="AA16" s="305">
        <v>0.56944444444444442</v>
      </c>
      <c r="AB16" s="304">
        <v>46422</v>
      </c>
      <c r="AC16" s="305" t="s">
        <v>803</v>
      </c>
      <c r="AD16" s="305" t="s">
        <v>426</v>
      </c>
      <c r="AE16" s="305">
        <v>0.63541666666666663</v>
      </c>
      <c r="AF16" s="305">
        <v>0.78263888888888888</v>
      </c>
      <c r="AG16" s="320"/>
      <c r="AH16" s="315"/>
      <c r="AI16" s="321"/>
      <c r="AJ16" s="309"/>
      <c r="AK16" s="309"/>
      <c r="AL16" s="309" t="s">
        <v>482</v>
      </c>
      <c r="AM16" s="309"/>
      <c r="AN16" s="309"/>
      <c r="AO16" s="309">
        <f>7100*$B$16</f>
        <v>14200</v>
      </c>
      <c r="AP16" s="309">
        <f>SUM(1136)*$B$16</f>
        <v>2272</v>
      </c>
      <c r="AQ16" s="309">
        <f>SUM(1078+1800)*$B$16</f>
        <v>5756</v>
      </c>
      <c r="AR16" s="309">
        <f>AO16+AP16+AQ16</f>
        <v>22228</v>
      </c>
      <c r="AS16" s="309">
        <f>230*B16</f>
        <v>460</v>
      </c>
      <c r="AT16" s="309">
        <f>AS16*16%</f>
        <v>73.600000000000009</v>
      </c>
      <c r="AU16" s="311">
        <f>AR16+AS16+AT16</f>
        <v>22761.599999999999</v>
      </c>
    </row>
    <row r="17" spans="2:47" s="281" customFormat="1" ht="12.75" customHeight="1">
      <c r="B17" s="292">
        <v>1</v>
      </c>
      <c r="C17" s="293"/>
      <c r="D17" s="294"/>
      <c r="E17" s="294"/>
      <c r="F17" s="312" t="s">
        <v>465</v>
      </c>
      <c r="G17" s="296"/>
      <c r="H17" s="301"/>
      <c r="I17" s="301"/>
      <c r="J17" s="301"/>
      <c r="K17" s="301"/>
      <c r="L17" s="301"/>
      <c r="M17" s="298">
        <v>46418</v>
      </c>
      <c r="N17" s="303" t="s">
        <v>466</v>
      </c>
      <c r="O17" s="303" t="s">
        <v>467</v>
      </c>
      <c r="P17" s="302">
        <v>0.65486111111111112</v>
      </c>
      <c r="Q17" s="302">
        <v>0.76736111111111116</v>
      </c>
      <c r="R17" s="301">
        <v>46419</v>
      </c>
      <c r="S17" s="302" t="s">
        <v>425</v>
      </c>
      <c r="T17" s="303" t="s">
        <v>787</v>
      </c>
      <c r="U17" s="302">
        <v>0.33680555555555558</v>
      </c>
      <c r="V17" s="302">
        <v>0.3972222222222222</v>
      </c>
      <c r="W17" s="304">
        <v>46422</v>
      </c>
      <c r="X17" s="305" t="s">
        <v>804</v>
      </c>
      <c r="Y17" s="305" t="s">
        <v>789</v>
      </c>
      <c r="Z17" s="305">
        <v>0.25347222222222221</v>
      </c>
      <c r="AA17" s="305">
        <v>0.3888888888888889</v>
      </c>
      <c r="AB17" s="304">
        <v>46422</v>
      </c>
      <c r="AC17" s="304" t="s">
        <v>469</v>
      </c>
      <c r="AD17" s="314" t="s">
        <v>470</v>
      </c>
      <c r="AE17" s="305">
        <v>0.58680555555555558</v>
      </c>
      <c r="AF17" s="305">
        <v>0.61041666666666672</v>
      </c>
      <c r="AG17" s="304"/>
      <c r="AH17" s="305"/>
      <c r="AI17" s="305"/>
      <c r="AJ17" s="305"/>
      <c r="AK17" s="305"/>
      <c r="AL17" s="309" t="s">
        <v>482</v>
      </c>
      <c r="AM17" s="315"/>
      <c r="AN17" s="316"/>
      <c r="AO17" s="309">
        <f>SUM(5978)*B17</f>
        <v>5978</v>
      </c>
      <c r="AP17" s="309">
        <f>957*B17</f>
        <v>957</v>
      </c>
      <c r="AQ17" s="309">
        <f>SUM(1264+1800)*B17</f>
        <v>3064</v>
      </c>
      <c r="AR17" s="309">
        <f>AO17+AP17+AQ17</f>
        <v>9999</v>
      </c>
      <c r="AS17" s="309">
        <f>230*B17</f>
        <v>230</v>
      </c>
      <c r="AT17" s="309">
        <f>AS17*16%</f>
        <v>36.800000000000004</v>
      </c>
      <c r="AU17" s="311">
        <f>AR17+AS17+AT17</f>
        <v>10265.799999999999</v>
      </c>
    </row>
    <row r="18" spans="2:47" s="281" customFormat="1" ht="12.75" customHeight="1">
      <c r="B18" s="292">
        <v>3</v>
      </c>
      <c r="C18" s="293"/>
      <c r="D18" s="294"/>
      <c r="E18" s="294"/>
      <c r="F18" s="312" t="s">
        <v>471</v>
      </c>
      <c r="G18" s="296"/>
      <c r="H18" s="301"/>
      <c r="I18" s="301"/>
      <c r="J18" s="301"/>
      <c r="K18" s="301"/>
      <c r="L18" s="301"/>
      <c r="M18" s="301">
        <v>46419</v>
      </c>
      <c r="N18" s="303" t="s">
        <v>472</v>
      </c>
      <c r="O18" s="303" t="s">
        <v>473</v>
      </c>
      <c r="P18" s="302">
        <v>0.2298611111111111</v>
      </c>
      <c r="Q18" s="302">
        <v>0.31319444444444444</v>
      </c>
      <c r="R18" s="301">
        <v>46419</v>
      </c>
      <c r="S18" s="302" t="s">
        <v>799</v>
      </c>
      <c r="T18" s="303" t="s">
        <v>787</v>
      </c>
      <c r="U18" s="302">
        <v>0.57291666666666663</v>
      </c>
      <c r="V18" s="302">
        <v>0.625</v>
      </c>
      <c r="W18" s="304">
        <v>46422</v>
      </c>
      <c r="X18" s="305" t="s">
        <v>800</v>
      </c>
      <c r="Y18" s="305" t="s">
        <v>789</v>
      </c>
      <c r="Z18" s="305">
        <v>0.65138888888888891</v>
      </c>
      <c r="AA18" s="305">
        <v>0.78125</v>
      </c>
      <c r="AB18" s="304">
        <v>46422</v>
      </c>
      <c r="AC18" s="314" t="s">
        <v>472</v>
      </c>
      <c r="AD18" s="314" t="s">
        <v>474</v>
      </c>
      <c r="AE18" s="305">
        <v>0.625</v>
      </c>
      <c r="AF18" s="305">
        <v>0.70833333333333337</v>
      </c>
      <c r="AG18" s="305"/>
      <c r="AH18" s="305"/>
      <c r="AI18" s="305"/>
      <c r="AJ18" s="305"/>
      <c r="AK18" s="305"/>
      <c r="AL18" s="319" t="s">
        <v>475</v>
      </c>
      <c r="AM18" s="315"/>
      <c r="AN18" s="316"/>
      <c r="AO18" s="309">
        <f>5497*B18</f>
        <v>16491</v>
      </c>
      <c r="AP18" s="309">
        <f>880*B18</f>
        <v>2640</v>
      </c>
      <c r="AQ18" s="309">
        <f>SUM(1275+1380+999.7)*B18</f>
        <v>10964.099999999999</v>
      </c>
      <c r="AR18" s="309">
        <f>AO18+AP18+AQ18</f>
        <v>30095.1</v>
      </c>
      <c r="AS18" s="309">
        <f>230*B18</f>
        <v>690</v>
      </c>
      <c r="AT18" s="309">
        <f>AS18*16%</f>
        <v>110.4</v>
      </c>
      <c r="AU18" s="311">
        <f>AR18+AS18+AT18</f>
        <v>30895.5</v>
      </c>
    </row>
    <row r="19" spans="2:47" s="281" customFormat="1" ht="12.75" customHeight="1">
      <c r="B19" s="292">
        <v>7</v>
      </c>
      <c r="C19" s="293"/>
      <c r="D19" s="294"/>
      <c r="E19" s="294"/>
      <c r="F19" s="312" t="s">
        <v>476</v>
      </c>
      <c r="G19" s="296" t="s">
        <v>439</v>
      </c>
      <c r="H19" s="301"/>
      <c r="I19" s="301"/>
      <c r="J19" s="301"/>
      <c r="K19" s="301"/>
      <c r="L19" s="301"/>
      <c r="M19" s="301"/>
      <c r="N19" s="303"/>
      <c r="O19" s="303"/>
      <c r="P19" s="302"/>
      <c r="Q19" s="302"/>
      <c r="R19" s="301">
        <v>46419</v>
      </c>
      <c r="S19" s="302" t="s">
        <v>805</v>
      </c>
      <c r="T19" s="303" t="s">
        <v>806</v>
      </c>
      <c r="U19" s="302">
        <v>0.41666666666666669</v>
      </c>
      <c r="V19" s="302">
        <v>0.45763888888888887</v>
      </c>
      <c r="W19" s="304">
        <v>46422</v>
      </c>
      <c r="X19" s="305" t="s">
        <v>807</v>
      </c>
      <c r="Y19" s="305" t="s">
        <v>808</v>
      </c>
      <c r="Z19" s="305">
        <v>0.7006944444444444</v>
      </c>
      <c r="AA19" s="305">
        <v>0.74305555555555558</v>
      </c>
      <c r="AB19" s="304"/>
      <c r="AC19" s="314"/>
      <c r="AD19" s="314"/>
      <c r="AE19" s="305"/>
      <c r="AF19" s="305"/>
      <c r="AG19" s="305"/>
      <c r="AH19" s="305"/>
      <c r="AI19" s="305"/>
      <c r="AJ19" s="305"/>
      <c r="AK19" s="305"/>
      <c r="AL19" s="309" t="s">
        <v>457</v>
      </c>
      <c r="AM19" s="315"/>
      <c r="AN19" s="316"/>
      <c r="AO19" s="320">
        <f>SUM(3624)*B19</f>
        <v>25368</v>
      </c>
      <c r="AP19" s="309">
        <f>580*B19</f>
        <v>4060</v>
      </c>
      <c r="AQ19" s="309">
        <f>SUM(1522+1379)*B19</f>
        <v>20307</v>
      </c>
      <c r="AR19" s="309">
        <f>AO19+AP19+AQ19</f>
        <v>49735</v>
      </c>
      <c r="AS19" s="309">
        <f>230*B19</f>
        <v>1610</v>
      </c>
      <c r="AT19" s="309">
        <f>AS19*16%</f>
        <v>257.60000000000002</v>
      </c>
      <c r="AU19" s="311">
        <f>AR19+AS19+AT19</f>
        <v>51602.6</v>
      </c>
    </row>
    <row r="20" spans="2:47" s="281" customFormat="1" ht="12.75" customHeight="1">
      <c r="B20" s="292">
        <v>1</v>
      </c>
      <c r="C20" s="293"/>
      <c r="D20" s="294"/>
      <c r="E20" s="294"/>
      <c r="F20" s="312" t="s">
        <v>483</v>
      </c>
      <c r="G20" s="296"/>
      <c r="H20" s="301"/>
      <c r="I20" s="301"/>
      <c r="J20" s="301"/>
      <c r="K20" s="301"/>
      <c r="L20" s="301"/>
      <c r="M20" s="301">
        <v>46419</v>
      </c>
      <c r="N20" s="303" t="s">
        <v>809</v>
      </c>
      <c r="O20" s="303" t="s">
        <v>486</v>
      </c>
      <c r="P20" s="302">
        <v>0.43402777777777779</v>
      </c>
      <c r="Q20" s="302">
        <v>0.56944444444444442</v>
      </c>
      <c r="R20" s="301">
        <v>46419</v>
      </c>
      <c r="S20" s="302" t="s">
        <v>786</v>
      </c>
      <c r="T20" s="303" t="s">
        <v>787</v>
      </c>
      <c r="U20" s="302">
        <v>0.67361111111111116</v>
      </c>
      <c r="V20" s="416">
        <v>0.73333333333333328</v>
      </c>
      <c r="W20" s="304">
        <v>46422</v>
      </c>
      <c r="X20" s="304" t="s">
        <v>788</v>
      </c>
      <c r="Y20" s="305" t="s">
        <v>789</v>
      </c>
      <c r="Z20" s="305">
        <v>0.43402777777777779</v>
      </c>
      <c r="AA20" s="305">
        <v>0.56944444444444442</v>
      </c>
      <c r="AB20" s="304">
        <v>46422</v>
      </c>
      <c r="AC20" s="314" t="s">
        <v>487</v>
      </c>
      <c r="AD20" s="314" t="s">
        <v>488</v>
      </c>
      <c r="AE20" s="305">
        <v>0.72916666666666663</v>
      </c>
      <c r="AF20" s="305">
        <v>0.79027777777777775</v>
      </c>
      <c r="AG20" s="305"/>
      <c r="AH20" s="305"/>
      <c r="AI20" s="305"/>
      <c r="AJ20" s="305"/>
      <c r="AK20" s="305"/>
      <c r="AL20" s="309" t="s">
        <v>482</v>
      </c>
      <c r="AM20" s="315"/>
      <c r="AN20" s="316"/>
      <c r="AO20" s="309">
        <f>14840*B20</f>
        <v>14840</v>
      </c>
      <c r="AP20" s="309">
        <f>2375*B20</f>
        <v>2375</v>
      </c>
      <c r="AQ20" s="309">
        <f>SUM(1356+3400)*B20</f>
        <v>4756</v>
      </c>
      <c r="AR20" s="309">
        <f>AO20+AP20+AQ20</f>
        <v>21971</v>
      </c>
      <c r="AS20" s="309">
        <f>230*B20</f>
        <v>230</v>
      </c>
      <c r="AT20" s="309">
        <f>AS20*16%</f>
        <v>36.800000000000004</v>
      </c>
      <c r="AU20" s="311">
        <f>AR20+AS20+AT20</f>
        <v>22237.8</v>
      </c>
    </row>
    <row r="21" spans="2:47" s="281" customFormat="1" ht="12.75" customHeight="1">
      <c r="B21" s="292">
        <v>1</v>
      </c>
      <c r="C21" s="293"/>
      <c r="D21" s="294"/>
      <c r="E21" s="294"/>
      <c r="F21" s="312" t="s">
        <v>489</v>
      </c>
      <c r="G21" s="296"/>
      <c r="H21" s="301"/>
      <c r="I21" s="301"/>
      <c r="J21" s="301"/>
      <c r="K21" s="301"/>
      <c r="L21" s="301"/>
      <c r="M21" s="301">
        <v>46419</v>
      </c>
      <c r="N21" s="303" t="s">
        <v>810</v>
      </c>
      <c r="O21" s="303" t="s">
        <v>492</v>
      </c>
      <c r="P21" s="302">
        <v>0.37013888888888891</v>
      </c>
      <c r="Q21" s="302">
        <v>0.4861111111111111</v>
      </c>
      <c r="R21" s="301">
        <v>46419</v>
      </c>
      <c r="S21" s="302" t="s">
        <v>791</v>
      </c>
      <c r="T21" s="303" t="s">
        <v>787</v>
      </c>
      <c r="U21" s="302">
        <v>0.53125</v>
      </c>
      <c r="V21" s="302">
        <v>0.59097222222222223</v>
      </c>
      <c r="W21" s="304">
        <v>46422</v>
      </c>
      <c r="X21" s="304" t="s">
        <v>788</v>
      </c>
      <c r="Y21" s="305" t="s">
        <v>789</v>
      </c>
      <c r="Z21" s="305">
        <v>0.43402777777777779</v>
      </c>
      <c r="AA21" s="305">
        <v>0.56944444444444442</v>
      </c>
      <c r="AB21" s="304">
        <v>46422</v>
      </c>
      <c r="AC21" s="314" t="s">
        <v>494</v>
      </c>
      <c r="AD21" s="314" t="s">
        <v>495</v>
      </c>
      <c r="AE21" s="305">
        <v>0.66666666666666663</v>
      </c>
      <c r="AF21" s="305">
        <v>0.70902777777777781</v>
      </c>
      <c r="AG21" s="305"/>
      <c r="AH21" s="305"/>
      <c r="AI21" s="305"/>
      <c r="AJ21" s="305"/>
      <c r="AK21" s="305"/>
      <c r="AL21" s="309" t="s">
        <v>482</v>
      </c>
      <c r="AM21" s="315"/>
      <c r="AN21" s="316"/>
      <c r="AO21" s="309">
        <f>6422*B21</f>
        <v>6422</v>
      </c>
      <c r="AP21" s="309">
        <f>1028*B21</f>
        <v>1028</v>
      </c>
      <c r="AQ21" s="309">
        <f>SUM(1530+1800)*B21</f>
        <v>3330</v>
      </c>
      <c r="AR21" s="309">
        <f>AO21+AP21+AQ21</f>
        <v>10780</v>
      </c>
      <c r="AS21" s="309">
        <f>230*B21</f>
        <v>230</v>
      </c>
      <c r="AT21" s="309">
        <f>AS21*16%</f>
        <v>36.800000000000004</v>
      </c>
      <c r="AU21" s="311">
        <f>AR21+AS21+AT21</f>
        <v>11046.8</v>
      </c>
    </row>
    <row r="22" spans="2:47" s="281" customFormat="1" ht="12.75" customHeight="1">
      <c r="B22" s="292">
        <v>1</v>
      </c>
      <c r="C22" s="293"/>
      <c r="D22" s="294"/>
      <c r="E22" s="294"/>
      <c r="F22" s="312" t="s">
        <v>496</v>
      </c>
      <c r="G22" s="296"/>
      <c r="H22" s="298">
        <v>46418</v>
      </c>
      <c r="I22" s="303" t="s">
        <v>497</v>
      </c>
      <c r="J22" s="303" t="s">
        <v>498</v>
      </c>
      <c r="K22" s="300">
        <v>0.625</v>
      </c>
      <c r="L22" s="300">
        <v>0.79166666666666663</v>
      </c>
      <c r="M22" s="301">
        <v>46419</v>
      </c>
      <c r="N22" s="303" t="s">
        <v>811</v>
      </c>
      <c r="O22" s="303" t="s">
        <v>500</v>
      </c>
      <c r="P22" s="302">
        <v>0.37152777777777779</v>
      </c>
      <c r="Q22" s="302">
        <v>0.44444444444444442</v>
      </c>
      <c r="R22" s="301">
        <v>46419</v>
      </c>
      <c r="S22" s="302" t="s">
        <v>791</v>
      </c>
      <c r="T22" s="303" t="s">
        <v>787</v>
      </c>
      <c r="U22" s="302">
        <v>0.53125</v>
      </c>
      <c r="V22" s="302">
        <v>0.59097222222222223</v>
      </c>
      <c r="W22" s="304">
        <v>46422</v>
      </c>
      <c r="X22" s="305" t="s">
        <v>788</v>
      </c>
      <c r="Y22" s="305" t="s">
        <v>789</v>
      </c>
      <c r="Z22" s="305">
        <v>0.43402777777777779</v>
      </c>
      <c r="AA22" s="305">
        <v>0.56944444444444442</v>
      </c>
      <c r="AB22" s="304">
        <v>46422</v>
      </c>
      <c r="AC22" s="314" t="s">
        <v>501</v>
      </c>
      <c r="AD22" s="314" t="s">
        <v>502</v>
      </c>
      <c r="AE22" s="305">
        <v>0.62847222222222221</v>
      </c>
      <c r="AF22" s="305">
        <v>0.70625000000000004</v>
      </c>
      <c r="AG22" s="322">
        <v>46423</v>
      </c>
      <c r="AH22" s="305" t="s">
        <v>497</v>
      </c>
      <c r="AI22" s="305" t="s">
        <v>503</v>
      </c>
      <c r="AJ22" s="305">
        <v>0.375</v>
      </c>
      <c r="AK22" s="305">
        <v>0.57777777777777772</v>
      </c>
      <c r="AL22" s="319" t="s">
        <v>504</v>
      </c>
      <c r="AM22" s="315"/>
      <c r="AN22" s="316"/>
      <c r="AO22" s="320">
        <f>SUM(4990)*B22</f>
        <v>4990</v>
      </c>
      <c r="AP22" s="309">
        <f>799*B22</f>
        <v>799</v>
      </c>
      <c r="AQ22" s="309">
        <f>SUM(1530+1800+878)*B22</f>
        <v>4208</v>
      </c>
      <c r="AR22" s="309">
        <f>AO22+AP22+AQ22</f>
        <v>9997</v>
      </c>
      <c r="AS22" s="309">
        <f>230*B22</f>
        <v>230</v>
      </c>
      <c r="AT22" s="309">
        <f>AS22*16%</f>
        <v>36.800000000000004</v>
      </c>
      <c r="AU22" s="311">
        <f>AR22+AS22+AT22</f>
        <v>10263.799999999999</v>
      </c>
    </row>
    <row r="23" spans="2:47" s="281" customFormat="1" ht="12.75" customHeight="1">
      <c r="B23" s="292">
        <f>35+6</f>
        <v>41</v>
      </c>
      <c r="C23" s="293"/>
      <c r="D23" s="294"/>
      <c r="E23" s="294"/>
      <c r="F23" s="312" t="s">
        <v>505</v>
      </c>
      <c r="G23" s="296" t="s">
        <v>812</v>
      </c>
      <c r="H23" s="301"/>
      <c r="I23" s="301"/>
      <c r="J23" s="301"/>
      <c r="K23" s="301"/>
      <c r="L23" s="301"/>
      <c r="M23" s="301"/>
      <c r="N23" s="303"/>
      <c r="O23" s="303"/>
      <c r="P23" s="302"/>
      <c r="Q23" s="302"/>
      <c r="R23" s="301">
        <v>46419</v>
      </c>
      <c r="S23" s="302" t="s">
        <v>813</v>
      </c>
      <c r="T23" s="303" t="s">
        <v>814</v>
      </c>
      <c r="U23" s="302">
        <v>0.31666666666666665</v>
      </c>
      <c r="V23" s="302">
        <v>0.3659722222222222</v>
      </c>
      <c r="W23" s="304">
        <v>46422</v>
      </c>
      <c r="X23" s="305" t="s">
        <v>815</v>
      </c>
      <c r="Y23" s="305" t="s">
        <v>816</v>
      </c>
      <c r="Z23" s="305">
        <v>0.39583333333333331</v>
      </c>
      <c r="AA23" s="305">
        <v>0.51736111111111116</v>
      </c>
      <c r="AB23" s="304"/>
      <c r="AC23" s="314"/>
      <c r="AD23" s="314"/>
      <c r="AE23" s="305"/>
      <c r="AF23" s="305"/>
      <c r="AG23" s="305"/>
      <c r="AH23" s="305"/>
      <c r="AI23" s="305"/>
      <c r="AJ23" s="305"/>
      <c r="AK23" s="305"/>
      <c r="AL23" s="319" t="s">
        <v>444</v>
      </c>
      <c r="AM23" s="315"/>
      <c r="AN23" s="316"/>
      <c r="AO23" s="320">
        <f>3620*B23</f>
        <v>148420</v>
      </c>
      <c r="AP23" s="309">
        <f>580*B23</f>
        <v>23780</v>
      </c>
      <c r="AQ23" s="309">
        <f>999*B23</f>
        <v>40959</v>
      </c>
      <c r="AR23" s="309">
        <f>AO23+AP23+AQ23</f>
        <v>213159</v>
      </c>
      <c r="AS23" s="309">
        <f>230*B23</f>
        <v>9430</v>
      </c>
      <c r="AT23" s="309">
        <f>AS23*16%</f>
        <v>1508.8</v>
      </c>
      <c r="AU23" s="311">
        <f>AR23+AS23+AT23</f>
        <v>224097.8</v>
      </c>
    </row>
    <row r="24" spans="2:47" s="281" customFormat="1" ht="12.75" customHeight="1">
      <c r="B24" s="292">
        <v>4</v>
      </c>
      <c r="C24" s="293"/>
      <c r="D24" s="294"/>
      <c r="E24" s="294"/>
      <c r="F24" s="312" t="s">
        <v>510</v>
      </c>
      <c r="G24" s="296"/>
      <c r="H24" s="301"/>
      <c r="I24" s="301"/>
      <c r="J24" s="301"/>
      <c r="K24" s="301"/>
      <c r="L24" s="301"/>
      <c r="M24" s="301"/>
      <c r="N24" s="303"/>
      <c r="O24" s="303"/>
      <c r="P24" s="302"/>
      <c r="Q24" s="302"/>
      <c r="R24" s="301">
        <v>46419</v>
      </c>
      <c r="S24" s="302" t="s">
        <v>813</v>
      </c>
      <c r="T24" s="303" t="s">
        <v>814</v>
      </c>
      <c r="U24" s="302">
        <v>0.31944444444444442</v>
      </c>
      <c r="V24" s="302">
        <v>0.3659722222222222</v>
      </c>
      <c r="W24" s="304">
        <v>46422</v>
      </c>
      <c r="X24" s="305" t="s">
        <v>815</v>
      </c>
      <c r="Y24" s="305" t="s">
        <v>816</v>
      </c>
      <c r="Z24" s="305">
        <v>0.39583333333333331</v>
      </c>
      <c r="AA24" s="305">
        <v>0.51736111111111116</v>
      </c>
      <c r="AB24" s="304"/>
      <c r="AC24" s="314"/>
      <c r="AD24" s="314"/>
      <c r="AE24" s="305"/>
      <c r="AF24" s="305"/>
      <c r="AG24" s="305"/>
      <c r="AH24" s="305"/>
      <c r="AI24" s="305"/>
      <c r="AJ24" s="305"/>
      <c r="AK24" s="305"/>
      <c r="AL24" s="319" t="s">
        <v>444</v>
      </c>
      <c r="AM24" s="315"/>
      <c r="AN24" s="316"/>
      <c r="AO24" s="320">
        <f>3620*B24</f>
        <v>14480</v>
      </c>
      <c r="AP24" s="309">
        <f>580*B24</f>
        <v>2320</v>
      </c>
      <c r="AQ24" s="309">
        <f>999*B24</f>
        <v>3996</v>
      </c>
      <c r="AR24" s="309">
        <f>AO24+AP24+AQ24</f>
        <v>20796</v>
      </c>
      <c r="AS24" s="309">
        <f>230*B24</f>
        <v>920</v>
      </c>
      <c r="AT24" s="309">
        <f>AS24*16%</f>
        <v>147.20000000000002</v>
      </c>
      <c r="AU24" s="311">
        <f>AR24+AS24+AT24</f>
        <v>21863.200000000001</v>
      </c>
    </row>
    <row r="25" spans="2:47" s="281" customFormat="1" ht="12.75" customHeight="1">
      <c r="B25" s="292">
        <v>10</v>
      </c>
      <c r="C25" s="293"/>
      <c r="D25" s="294"/>
      <c r="E25" s="294"/>
      <c r="F25" s="312" t="s">
        <v>512</v>
      </c>
      <c r="G25" s="296"/>
      <c r="H25" s="301"/>
      <c r="I25" s="301"/>
      <c r="J25" s="301"/>
      <c r="K25" s="301"/>
      <c r="L25" s="301"/>
      <c r="M25" s="301">
        <v>46419</v>
      </c>
      <c r="N25" s="303" t="s">
        <v>817</v>
      </c>
      <c r="O25" s="303" t="s">
        <v>818</v>
      </c>
      <c r="P25" s="302">
        <v>0.40694444444444444</v>
      </c>
      <c r="Q25" s="302">
        <v>0.49652777777777779</v>
      </c>
      <c r="R25" s="301">
        <v>46419</v>
      </c>
      <c r="S25" s="302" t="s">
        <v>791</v>
      </c>
      <c r="T25" s="303" t="s">
        <v>787</v>
      </c>
      <c r="U25" s="302">
        <v>0.53125</v>
      </c>
      <c r="V25" s="302">
        <v>0.59097222222222223</v>
      </c>
      <c r="W25" s="304">
        <v>46422</v>
      </c>
      <c r="X25" s="305" t="s">
        <v>794</v>
      </c>
      <c r="Y25" s="305" t="s">
        <v>789</v>
      </c>
      <c r="Z25" s="305">
        <v>0.60763888888888884</v>
      </c>
      <c r="AA25" s="305">
        <v>0.74652777777777779</v>
      </c>
      <c r="AB25" s="304">
        <v>46422</v>
      </c>
      <c r="AC25" s="314" t="s">
        <v>819</v>
      </c>
      <c r="AD25" s="314" t="s">
        <v>820</v>
      </c>
      <c r="AE25" s="305">
        <v>0.78819444444444442</v>
      </c>
      <c r="AF25" s="305">
        <v>0.86875000000000002</v>
      </c>
      <c r="AG25" s="305"/>
      <c r="AH25" s="305"/>
      <c r="AI25" s="305"/>
      <c r="AJ25" s="305"/>
      <c r="AK25" s="305"/>
      <c r="AL25" s="319" t="s">
        <v>482</v>
      </c>
      <c r="AM25" s="315"/>
      <c r="AN25" s="316"/>
      <c r="AO25" s="320">
        <f>8100*B25</f>
        <v>81000</v>
      </c>
      <c r="AP25" s="309">
        <f>SUM(1296)*B25</f>
        <v>12960</v>
      </c>
      <c r="AQ25" s="309">
        <f>SUM(1430+1800)*B25</f>
        <v>32300</v>
      </c>
      <c r="AR25" s="309">
        <f>AO25+AP25+AQ25</f>
        <v>126260</v>
      </c>
      <c r="AS25" s="309">
        <f>230*B25</f>
        <v>2300</v>
      </c>
      <c r="AT25" s="309">
        <f>AS25*16%</f>
        <v>368</v>
      </c>
      <c r="AU25" s="311">
        <f>AR25+AS25+AT25</f>
        <v>128928</v>
      </c>
    </row>
    <row r="26" spans="2:47" s="281" customFormat="1" ht="12.75" customHeight="1">
      <c r="B26" s="292">
        <v>1</v>
      </c>
      <c r="C26" s="293"/>
      <c r="D26" s="294"/>
      <c r="E26" s="294"/>
      <c r="F26" s="312" t="s">
        <v>518</v>
      </c>
      <c r="G26" s="296"/>
      <c r="H26" s="298">
        <v>46418</v>
      </c>
      <c r="I26" s="303" t="s">
        <v>497</v>
      </c>
      <c r="J26" s="303" t="s">
        <v>519</v>
      </c>
      <c r="K26" s="302">
        <v>0.70833333333333337</v>
      </c>
      <c r="L26" s="300">
        <v>0.83333333333333337</v>
      </c>
      <c r="M26" s="301">
        <v>46419</v>
      </c>
      <c r="N26" s="303" t="s">
        <v>811</v>
      </c>
      <c r="O26" s="303" t="s">
        <v>500</v>
      </c>
      <c r="P26" s="302">
        <v>0.37152777777777779</v>
      </c>
      <c r="Q26" s="302">
        <v>0.44444444444444442</v>
      </c>
      <c r="R26" s="301">
        <v>46419</v>
      </c>
      <c r="S26" s="302" t="s">
        <v>791</v>
      </c>
      <c r="T26" s="303" t="s">
        <v>787</v>
      </c>
      <c r="U26" s="302">
        <v>0.53125</v>
      </c>
      <c r="V26" s="302">
        <v>0.59097222222222223</v>
      </c>
      <c r="W26" s="304">
        <v>46422</v>
      </c>
      <c r="X26" s="305" t="s">
        <v>788</v>
      </c>
      <c r="Y26" s="305" t="s">
        <v>789</v>
      </c>
      <c r="Z26" s="305">
        <v>0.43402777777777779</v>
      </c>
      <c r="AA26" s="305">
        <v>0.56944444444444442</v>
      </c>
      <c r="AB26" s="304">
        <v>46422</v>
      </c>
      <c r="AC26" s="314" t="s">
        <v>501</v>
      </c>
      <c r="AD26" s="314" t="s">
        <v>502</v>
      </c>
      <c r="AE26" s="305">
        <v>0.62847222222222221</v>
      </c>
      <c r="AF26" s="305">
        <v>0.70625000000000004</v>
      </c>
      <c r="AG26" s="322">
        <v>46423</v>
      </c>
      <c r="AH26" s="305" t="s">
        <v>497</v>
      </c>
      <c r="AI26" s="305" t="s">
        <v>520</v>
      </c>
      <c r="AJ26" s="305">
        <v>0.375</v>
      </c>
      <c r="AK26" s="305">
        <v>0.59861111111111109</v>
      </c>
      <c r="AL26" s="319" t="s">
        <v>504</v>
      </c>
      <c r="AM26" s="315"/>
      <c r="AN26" s="316"/>
      <c r="AO26" s="320">
        <f>SUM(4990)*B26</f>
        <v>4990</v>
      </c>
      <c r="AP26" s="309">
        <f>799*B26</f>
        <v>799</v>
      </c>
      <c r="AQ26" s="309">
        <f>SUM(1530+1800+993.5)*B26</f>
        <v>4323.5</v>
      </c>
      <c r="AR26" s="309">
        <f>AO26+AP26+AQ26</f>
        <v>10112.5</v>
      </c>
      <c r="AS26" s="309">
        <f>230*B26</f>
        <v>230</v>
      </c>
      <c r="AT26" s="309">
        <f>AS26*16%</f>
        <v>36.800000000000004</v>
      </c>
      <c r="AU26" s="311">
        <f>AR26+AS26+AT26</f>
        <v>10379.299999999999</v>
      </c>
    </row>
    <row r="27" spans="2:47" s="281" customFormat="1" ht="12.75" customHeight="1">
      <c r="B27" s="292">
        <v>29</v>
      </c>
      <c r="C27" s="293"/>
      <c r="D27" s="294"/>
      <c r="E27" s="294"/>
      <c r="F27" s="312" t="s">
        <v>521</v>
      </c>
      <c r="G27" s="296"/>
      <c r="H27" s="301"/>
      <c r="I27" s="301"/>
      <c r="J27" s="301"/>
      <c r="K27" s="301"/>
      <c r="L27" s="301"/>
      <c r="M27" s="301"/>
      <c r="N27" s="303"/>
      <c r="O27" s="303"/>
      <c r="P27" s="302"/>
      <c r="Q27" s="302"/>
      <c r="R27" s="301">
        <v>46419</v>
      </c>
      <c r="S27" s="303" t="s">
        <v>821</v>
      </c>
      <c r="T27" s="303" t="s">
        <v>822</v>
      </c>
      <c r="U27" s="302">
        <v>0.41875000000000001</v>
      </c>
      <c r="V27" s="302">
        <v>0.44097222222222221</v>
      </c>
      <c r="W27" s="304">
        <v>46422</v>
      </c>
      <c r="X27" s="305" t="s">
        <v>823</v>
      </c>
      <c r="Y27" s="305" t="s">
        <v>824</v>
      </c>
      <c r="Z27" s="305">
        <v>0.46875</v>
      </c>
      <c r="AA27" s="305">
        <v>0.57430555555555551</v>
      </c>
      <c r="AB27" s="313"/>
      <c r="AC27" s="314"/>
      <c r="AD27" s="314"/>
      <c r="AE27" s="305"/>
      <c r="AF27" s="305"/>
      <c r="AG27" s="305"/>
      <c r="AH27" s="305"/>
      <c r="AI27" s="305"/>
      <c r="AJ27" s="305"/>
      <c r="AK27" s="305"/>
      <c r="AL27" s="319" t="s">
        <v>457</v>
      </c>
      <c r="AM27" s="315"/>
      <c r="AN27" s="316"/>
      <c r="AO27" s="320">
        <f>4809*B27</f>
        <v>139461</v>
      </c>
      <c r="AP27" s="309">
        <f>770*B27</f>
        <v>22330</v>
      </c>
      <c r="AQ27" s="309">
        <f>SUM(1319+1364)*B27</f>
        <v>77807</v>
      </c>
      <c r="AR27" s="309">
        <f>AO27+AP27+AQ27</f>
        <v>239598</v>
      </c>
      <c r="AS27" s="309">
        <f>230*B27</f>
        <v>6670</v>
      </c>
      <c r="AT27" s="309">
        <f>AS27*16%</f>
        <v>1067.2</v>
      </c>
      <c r="AU27" s="311">
        <f>AR27+AS27+AT27</f>
        <v>247335.2</v>
      </c>
    </row>
    <row r="28" spans="2:47" s="281" customFormat="1" ht="12.75" customHeight="1">
      <c r="B28" s="292">
        <v>6</v>
      </c>
      <c r="C28" s="293"/>
      <c r="D28" s="294"/>
      <c r="E28" s="294"/>
      <c r="F28" s="312" t="s">
        <v>526</v>
      </c>
      <c r="G28" s="296"/>
      <c r="H28" s="301"/>
      <c r="I28" s="301"/>
      <c r="J28" s="301"/>
      <c r="K28" s="300"/>
      <c r="L28" s="300"/>
      <c r="M28" s="301">
        <v>46419</v>
      </c>
      <c r="N28" s="301" t="s">
        <v>527</v>
      </c>
      <c r="O28" s="301" t="s">
        <v>528</v>
      </c>
      <c r="P28" s="300">
        <v>0.25347222222222221</v>
      </c>
      <c r="Q28" s="300">
        <v>0.40625</v>
      </c>
      <c r="R28" s="301">
        <v>46419</v>
      </c>
      <c r="S28" s="302" t="s">
        <v>791</v>
      </c>
      <c r="T28" s="303" t="s">
        <v>787</v>
      </c>
      <c r="U28" s="302">
        <v>0.53125</v>
      </c>
      <c r="V28" s="302">
        <v>0.59097222222222223</v>
      </c>
      <c r="W28" s="304">
        <v>46422</v>
      </c>
      <c r="X28" s="305" t="s">
        <v>788</v>
      </c>
      <c r="Y28" s="305" t="s">
        <v>789</v>
      </c>
      <c r="Z28" s="305">
        <v>0.43402777777777779</v>
      </c>
      <c r="AA28" s="305">
        <v>0.56944444444444442</v>
      </c>
      <c r="AB28" s="304">
        <v>46422</v>
      </c>
      <c r="AC28" s="314" t="s">
        <v>825</v>
      </c>
      <c r="AD28" s="305" t="s">
        <v>531</v>
      </c>
      <c r="AE28" s="305">
        <v>0.625</v>
      </c>
      <c r="AF28" s="305">
        <v>0.71527777777777779</v>
      </c>
      <c r="AG28" s="305"/>
      <c r="AH28" s="305"/>
      <c r="AI28" s="305"/>
      <c r="AJ28" s="305"/>
      <c r="AK28" s="305"/>
      <c r="AL28" s="309" t="s">
        <v>482</v>
      </c>
      <c r="AM28" s="315"/>
      <c r="AN28" s="316"/>
      <c r="AO28" s="309">
        <f>3830*B28</f>
        <v>22980</v>
      </c>
      <c r="AP28" s="309">
        <f>613*B28</f>
        <v>3678</v>
      </c>
      <c r="AQ28" s="309">
        <f>SUM(1349+1800)*B28</f>
        <v>18894</v>
      </c>
      <c r="AR28" s="309">
        <f>AO28+AP28+AQ28</f>
        <v>45552</v>
      </c>
      <c r="AS28" s="309">
        <f>230*B28</f>
        <v>1380</v>
      </c>
      <c r="AT28" s="309">
        <f>AS28*16%</f>
        <v>220.8</v>
      </c>
      <c r="AU28" s="311">
        <f>AR28+AS28+AT28</f>
        <v>47152.800000000003</v>
      </c>
    </row>
    <row r="29" spans="2:47" s="281" customFormat="1" ht="12.75" customHeight="1">
      <c r="B29" s="292">
        <v>2</v>
      </c>
      <c r="C29" s="293"/>
      <c r="D29" s="294"/>
      <c r="E29" s="294"/>
      <c r="F29" s="312" t="s">
        <v>532</v>
      </c>
      <c r="G29" s="317"/>
      <c r="H29" s="301"/>
      <c r="I29" s="301"/>
      <c r="J29" s="301"/>
      <c r="K29" s="301"/>
      <c r="L29" s="301"/>
      <c r="M29" s="301">
        <v>46419</v>
      </c>
      <c r="N29" s="303" t="s">
        <v>793</v>
      </c>
      <c r="O29" s="303" t="s">
        <v>649</v>
      </c>
      <c r="P29" s="302">
        <v>0.32916666666666666</v>
      </c>
      <c r="Q29" s="302">
        <v>0.37847222222222221</v>
      </c>
      <c r="R29" s="301">
        <v>46419</v>
      </c>
      <c r="S29" s="302" t="s">
        <v>791</v>
      </c>
      <c r="T29" s="303" t="s">
        <v>787</v>
      </c>
      <c r="U29" s="302">
        <v>0.53125</v>
      </c>
      <c r="V29" s="302">
        <v>0.59097222222222223</v>
      </c>
      <c r="W29" s="304">
        <v>46422</v>
      </c>
      <c r="X29" s="305" t="s">
        <v>794</v>
      </c>
      <c r="Y29" s="305" t="s">
        <v>789</v>
      </c>
      <c r="Z29" s="305">
        <v>0.60763888888888884</v>
      </c>
      <c r="AA29" s="305">
        <v>0.74652777777777779</v>
      </c>
      <c r="AB29" s="304">
        <v>46422</v>
      </c>
      <c r="AC29" s="314" t="s">
        <v>795</v>
      </c>
      <c r="AD29" s="314" t="s">
        <v>651</v>
      </c>
      <c r="AE29" s="305">
        <v>0.81944444444444442</v>
      </c>
      <c r="AF29" s="305">
        <v>0.86875000000000002</v>
      </c>
      <c r="AG29" s="305"/>
      <c r="AH29" s="305"/>
      <c r="AI29" s="305"/>
      <c r="AJ29" s="305"/>
      <c r="AK29" s="305"/>
      <c r="AL29" s="309" t="s">
        <v>482</v>
      </c>
      <c r="AM29" s="315"/>
      <c r="AN29" s="316"/>
      <c r="AO29" s="309">
        <f>5728*B29</f>
        <v>11456</v>
      </c>
      <c r="AP29" s="309">
        <f>917*B29</f>
        <v>1834</v>
      </c>
      <c r="AQ29" s="309">
        <f>SUM(1310+1800)*B29</f>
        <v>6220</v>
      </c>
      <c r="AR29" s="309">
        <f>AO29+AP29+AQ29</f>
        <v>19510</v>
      </c>
      <c r="AS29" s="309">
        <f>230*B29</f>
        <v>460</v>
      </c>
      <c r="AT29" s="309">
        <f>AS29*16%</f>
        <v>73.600000000000009</v>
      </c>
      <c r="AU29" s="311">
        <f>AR29+AS29+AT29</f>
        <v>20043.599999999999</v>
      </c>
    </row>
    <row r="30" spans="2:47" s="281" customFormat="1" ht="12.75" customHeight="1">
      <c r="B30" s="292">
        <v>8</v>
      </c>
      <c r="C30" s="293"/>
      <c r="D30" s="294"/>
      <c r="E30" s="294"/>
      <c r="F30" s="312" t="s">
        <v>533</v>
      </c>
      <c r="G30" s="317"/>
      <c r="H30" s="301"/>
      <c r="I30" s="301"/>
      <c r="J30" s="301"/>
      <c r="K30" s="301"/>
      <c r="L30" s="301"/>
      <c r="M30" s="301">
        <v>46419</v>
      </c>
      <c r="N30" s="303" t="s">
        <v>793</v>
      </c>
      <c r="O30" s="303" t="s">
        <v>649</v>
      </c>
      <c r="P30" s="302">
        <v>0.32916666666666666</v>
      </c>
      <c r="Q30" s="302">
        <v>0.37847222222222221</v>
      </c>
      <c r="R30" s="301">
        <v>46419</v>
      </c>
      <c r="S30" s="302" t="s">
        <v>791</v>
      </c>
      <c r="T30" s="303" t="s">
        <v>787</v>
      </c>
      <c r="U30" s="302">
        <v>0.53125</v>
      </c>
      <c r="V30" s="302">
        <v>0.59097222222222223</v>
      </c>
      <c r="W30" s="304">
        <v>46422</v>
      </c>
      <c r="X30" s="305" t="s">
        <v>794</v>
      </c>
      <c r="Y30" s="305" t="s">
        <v>789</v>
      </c>
      <c r="Z30" s="305">
        <v>0.60763888888888884</v>
      </c>
      <c r="AA30" s="305">
        <v>0.74652777777777779</v>
      </c>
      <c r="AB30" s="304">
        <v>46422</v>
      </c>
      <c r="AC30" s="314" t="s">
        <v>795</v>
      </c>
      <c r="AD30" s="314" t="s">
        <v>651</v>
      </c>
      <c r="AE30" s="305">
        <v>0.81944444444444442</v>
      </c>
      <c r="AF30" s="305">
        <v>0.86875000000000002</v>
      </c>
      <c r="AG30" s="305"/>
      <c r="AH30" s="305"/>
      <c r="AI30" s="305"/>
      <c r="AJ30" s="305"/>
      <c r="AK30" s="305"/>
      <c r="AL30" s="309" t="s">
        <v>482</v>
      </c>
      <c r="AM30" s="315"/>
      <c r="AN30" s="316"/>
      <c r="AO30" s="309">
        <f>5728*B30</f>
        <v>45824</v>
      </c>
      <c r="AP30" s="309">
        <f>917*B30</f>
        <v>7336</v>
      </c>
      <c r="AQ30" s="309">
        <f>SUM(1310+1800)*B30</f>
        <v>24880</v>
      </c>
      <c r="AR30" s="309">
        <f>AO30+AP30+AQ30</f>
        <v>78040</v>
      </c>
      <c r="AS30" s="309">
        <f>230*B30</f>
        <v>1840</v>
      </c>
      <c r="AT30" s="309">
        <f>AS30*16%</f>
        <v>294.40000000000003</v>
      </c>
      <c r="AU30" s="311">
        <f>AR30+AS30+AT30</f>
        <v>80174.399999999994</v>
      </c>
    </row>
    <row r="31" spans="2:47" s="281" customFormat="1" ht="12.75" customHeight="1">
      <c r="B31" s="292">
        <v>5</v>
      </c>
      <c r="C31" s="293"/>
      <c r="D31" s="294"/>
      <c r="E31" s="294"/>
      <c r="F31" s="312" t="s">
        <v>534</v>
      </c>
      <c r="G31" s="296"/>
      <c r="H31" s="301"/>
      <c r="I31" s="301"/>
      <c r="J31" s="301"/>
      <c r="K31" s="301"/>
      <c r="L31" s="301"/>
      <c r="M31" s="301">
        <v>46419</v>
      </c>
      <c r="N31" s="303" t="s">
        <v>826</v>
      </c>
      <c r="O31" s="323" t="s">
        <v>537</v>
      </c>
      <c r="P31" s="302">
        <v>0.25138888888888888</v>
      </c>
      <c r="Q31" s="302">
        <v>0.47569444444444442</v>
      </c>
      <c r="R31" s="301">
        <v>46419</v>
      </c>
      <c r="S31" s="302" t="s">
        <v>791</v>
      </c>
      <c r="T31" s="303" t="s">
        <v>787</v>
      </c>
      <c r="U31" s="302">
        <v>0.53125</v>
      </c>
      <c r="V31" s="302">
        <v>0.59097222222222223</v>
      </c>
      <c r="W31" s="304">
        <v>46422</v>
      </c>
      <c r="X31" s="305" t="s">
        <v>827</v>
      </c>
      <c r="Y31" s="305" t="s">
        <v>828</v>
      </c>
      <c r="Z31" s="305">
        <v>0.69027777777777777</v>
      </c>
      <c r="AA31" s="305">
        <v>0.7319444444444444</v>
      </c>
      <c r="AB31" s="313"/>
      <c r="AC31" s="314"/>
      <c r="AD31" s="314"/>
      <c r="AE31" s="305"/>
      <c r="AF31" s="305"/>
      <c r="AG31" s="305"/>
      <c r="AH31" s="305"/>
      <c r="AI31" s="305"/>
      <c r="AJ31" s="305"/>
      <c r="AK31" s="305"/>
      <c r="AL31" s="319" t="s">
        <v>829</v>
      </c>
      <c r="AM31" s="315"/>
      <c r="AN31" s="316"/>
      <c r="AO31" s="309">
        <f>SUM(2590+2490)*B31</f>
        <v>25400</v>
      </c>
      <c r="AP31" s="309">
        <f>SUM(404+399)*B31</f>
        <v>4015</v>
      </c>
      <c r="AQ31" s="309">
        <f>SUM(612+1000+655+750)*B31</f>
        <v>15085</v>
      </c>
      <c r="AR31" s="309">
        <f>AO31+AP31+AQ31</f>
        <v>44500</v>
      </c>
      <c r="AS31" s="309">
        <f>230*B31</f>
        <v>1150</v>
      </c>
      <c r="AT31" s="309">
        <f>AS31*16%</f>
        <v>184</v>
      </c>
      <c r="AU31" s="311">
        <f>AR31+AS31+AT31</f>
        <v>45834</v>
      </c>
    </row>
    <row r="32" spans="2:47" s="281" customFormat="1" ht="12.75" customHeight="1">
      <c r="B32" s="292">
        <v>27</v>
      </c>
      <c r="C32" s="293"/>
      <c r="D32" s="294"/>
      <c r="E32" s="294"/>
      <c r="F32" s="312" t="s">
        <v>541</v>
      </c>
      <c r="G32" s="296" t="s">
        <v>830</v>
      </c>
      <c r="H32" s="301"/>
      <c r="I32" s="301"/>
      <c r="J32" s="301"/>
      <c r="K32" s="301"/>
      <c r="L32" s="301"/>
      <c r="M32" s="301"/>
      <c r="N32" s="303"/>
      <c r="O32" s="323"/>
      <c r="P32" s="302"/>
      <c r="Q32" s="302"/>
      <c r="R32" s="301">
        <v>46419</v>
      </c>
      <c r="S32" s="302" t="s">
        <v>831</v>
      </c>
      <c r="T32" s="303" t="s">
        <v>832</v>
      </c>
      <c r="U32" s="302">
        <v>0.48055555555555557</v>
      </c>
      <c r="V32" s="302">
        <v>0.52222222222222225</v>
      </c>
      <c r="W32" s="304">
        <v>46422</v>
      </c>
      <c r="X32" s="305" t="s">
        <v>833</v>
      </c>
      <c r="Y32" s="305" t="s">
        <v>834</v>
      </c>
      <c r="Z32" s="305">
        <v>0.37013888888888891</v>
      </c>
      <c r="AA32" s="305">
        <v>0.61250000000000004</v>
      </c>
      <c r="AB32" s="313"/>
      <c r="AC32" s="314"/>
      <c r="AD32" s="314"/>
      <c r="AE32" s="305"/>
      <c r="AF32" s="305"/>
      <c r="AG32" s="305"/>
      <c r="AH32" s="305"/>
      <c r="AI32" s="305"/>
      <c r="AJ32" s="305"/>
      <c r="AK32" s="305"/>
      <c r="AL32" s="319" t="s">
        <v>444</v>
      </c>
      <c r="AM32" s="315"/>
      <c r="AN32" s="316"/>
      <c r="AO32" s="309">
        <f>3910*B32</f>
        <v>105570</v>
      </c>
      <c r="AP32" s="309">
        <f>626*B32</f>
        <v>16902</v>
      </c>
      <c r="AQ32" s="309">
        <f>SUM(1445)*B32</f>
        <v>39015</v>
      </c>
      <c r="AR32" s="309">
        <f>AO32+AP32+AQ32</f>
        <v>161487</v>
      </c>
      <c r="AS32" s="309">
        <f>230*B32</f>
        <v>6210</v>
      </c>
      <c r="AT32" s="309">
        <f>AS32*16%</f>
        <v>993.6</v>
      </c>
      <c r="AU32" s="311">
        <f>AR32+AS32+AT32</f>
        <v>168690.6</v>
      </c>
    </row>
    <row r="33" spans="2:47" s="281" customFormat="1" ht="12.75" customHeight="1">
      <c r="B33" s="292">
        <v>12</v>
      </c>
      <c r="C33" s="293"/>
      <c r="D33" s="294"/>
      <c r="E33" s="294"/>
      <c r="F33" s="312" t="s">
        <v>546</v>
      </c>
      <c r="G33" s="296"/>
      <c r="H33" s="301"/>
      <c r="I33" s="301"/>
      <c r="J33" s="301"/>
      <c r="K33" s="301"/>
      <c r="L33" s="301"/>
      <c r="M33" s="301">
        <v>46419</v>
      </c>
      <c r="N33" s="303" t="s">
        <v>835</v>
      </c>
      <c r="O33" s="323" t="s">
        <v>717</v>
      </c>
      <c r="P33" s="302">
        <v>0.25277777777777777</v>
      </c>
      <c r="Q33" s="302">
        <v>0.30208333333333331</v>
      </c>
      <c r="R33" s="301">
        <v>46419</v>
      </c>
      <c r="S33" s="302" t="s">
        <v>836</v>
      </c>
      <c r="T33" s="303" t="s">
        <v>787</v>
      </c>
      <c r="U33" s="302">
        <v>0.33680555555555558</v>
      </c>
      <c r="V33" s="302">
        <v>0.3972222222222222</v>
      </c>
      <c r="W33" s="304">
        <v>46422</v>
      </c>
      <c r="X33" s="305" t="s">
        <v>804</v>
      </c>
      <c r="Y33" s="305" t="s">
        <v>789</v>
      </c>
      <c r="Z33" s="305">
        <v>0.25347222222222221</v>
      </c>
      <c r="AA33" s="305">
        <v>0.3888888888888889</v>
      </c>
      <c r="AB33" s="304">
        <v>46422</v>
      </c>
      <c r="AC33" s="314" t="s">
        <v>718</v>
      </c>
      <c r="AD33" s="314" t="s">
        <v>719</v>
      </c>
      <c r="AE33" s="305">
        <v>0.54166666666666663</v>
      </c>
      <c r="AF33" s="305">
        <v>0.59097222222222223</v>
      </c>
      <c r="AG33" s="305"/>
      <c r="AH33" s="305"/>
      <c r="AI33" s="305"/>
      <c r="AJ33" s="305"/>
      <c r="AK33" s="305"/>
      <c r="AL33" s="319" t="s">
        <v>482</v>
      </c>
      <c r="AM33" s="315"/>
      <c r="AN33" s="316"/>
      <c r="AO33" s="309">
        <f>5498*B33</f>
        <v>65976</v>
      </c>
      <c r="AP33" s="309">
        <f>880*B33</f>
        <v>10560</v>
      </c>
      <c r="AQ33" s="309">
        <f>SUM(1320+1800)*B33</f>
        <v>37440</v>
      </c>
      <c r="AR33" s="309">
        <f>AO33+AP33+AQ33</f>
        <v>113976</v>
      </c>
      <c r="AS33" s="309">
        <f>230*B33</f>
        <v>2760</v>
      </c>
      <c r="AT33" s="309">
        <f>AS33*16%</f>
        <v>441.6</v>
      </c>
      <c r="AU33" s="311">
        <f>AR33+AS33+AT33</f>
        <v>117177.60000000001</v>
      </c>
    </row>
    <row r="34" spans="2:47" s="281" customFormat="1" ht="12.75" customHeight="1">
      <c r="B34" s="292">
        <v>2</v>
      </c>
      <c r="C34" s="293"/>
      <c r="D34" s="294"/>
      <c r="E34" s="294"/>
      <c r="F34" s="312" t="s">
        <v>551</v>
      </c>
      <c r="G34" s="296" t="s">
        <v>552</v>
      </c>
      <c r="H34" s="301"/>
      <c r="I34" s="301"/>
      <c r="J34" s="301"/>
      <c r="K34" s="301"/>
      <c r="L34" s="301"/>
      <c r="M34" s="298">
        <v>46418</v>
      </c>
      <c r="N34" s="303" t="s">
        <v>553</v>
      </c>
      <c r="O34" s="323" t="s">
        <v>554</v>
      </c>
      <c r="P34" s="302">
        <v>0.64236111111111116</v>
      </c>
      <c r="Q34" s="302">
        <v>0.72222222222222221</v>
      </c>
      <c r="R34" s="301">
        <v>46419</v>
      </c>
      <c r="S34" s="302" t="s">
        <v>836</v>
      </c>
      <c r="T34" s="303" t="s">
        <v>787</v>
      </c>
      <c r="U34" s="302">
        <v>0.33680555555555558</v>
      </c>
      <c r="V34" s="302">
        <v>0.3972222222222222</v>
      </c>
      <c r="W34" s="304">
        <v>46422</v>
      </c>
      <c r="X34" s="305" t="s">
        <v>804</v>
      </c>
      <c r="Y34" s="305" t="s">
        <v>789</v>
      </c>
      <c r="Z34" s="305">
        <v>0.25347222222222221</v>
      </c>
      <c r="AA34" s="305">
        <v>0.3888888888888889</v>
      </c>
      <c r="AB34" s="304">
        <v>46422</v>
      </c>
      <c r="AC34" s="314" t="s">
        <v>555</v>
      </c>
      <c r="AD34" s="314" t="s">
        <v>556</v>
      </c>
      <c r="AE34" s="305">
        <v>0.5</v>
      </c>
      <c r="AF34" s="305">
        <v>0.57916666666666672</v>
      </c>
      <c r="AG34" s="305"/>
      <c r="AH34" s="305"/>
      <c r="AI34" s="305"/>
      <c r="AJ34" s="305"/>
      <c r="AK34" s="305"/>
      <c r="AL34" s="319" t="s">
        <v>482</v>
      </c>
      <c r="AM34" s="315"/>
      <c r="AN34" s="316"/>
      <c r="AO34" s="309">
        <f>5538*B34</f>
        <v>11076</v>
      </c>
      <c r="AP34" s="309">
        <f>887*B34</f>
        <v>1774</v>
      </c>
      <c r="AQ34" s="309">
        <f>SUM(1200+1800)*B34</f>
        <v>6000</v>
      </c>
      <c r="AR34" s="309">
        <f>AO34+AP34+AQ34</f>
        <v>18850</v>
      </c>
      <c r="AS34" s="309">
        <f>230*B34</f>
        <v>460</v>
      </c>
      <c r="AT34" s="309">
        <f>AS34*16%</f>
        <v>73.600000000000009</v>
      </c>
      <c r="AU34" s="311">
        <f>AR34+AS34+AT34</f>
        <v>19383.599999999999</v>
      </c>
    </row>
    <row r="35" spans="2:47" s="281" customFormat="1" ht="12.75" customHeight="1">
      <c r="B35" s="292">
        <v>4</v>
      </c>
      <c r="C35" s="293"/>
      <c r="D35" s="294"/>
      <c r="E35" s="294"/>
      <c r="F35" s="312" t="s">
        <v>557</v>
      </c>
      <c r="G35" s="296"/>
      <c r="H35" s="301"/>
      <c r="I35" s="301"/>
      <c r="J35" s="301"/>
      <c r="K35" s="301"/>
      <c r="L35" s="301"/>
      <c r="M35" s="301">
        <v>46419</v>
      </c>
      <c r="N35" s="303" t="s">
        <v>837</v>
      </c>
      <c r="O35" s="323" t="s">
        <v>722</v>
      </c>
      <c r="P35" s="302">
        <v>0.43194444444444446</v>
      </c>
      <c r="Q35" s="302">
        <v>0.4861111111111111</v>
      </c>
      <c r="R35" s="301">
        <v>46419</v>
      </c>
      <c r="S35" s="302" t="s">
        <v>791</v>
      </c>
      <c r="T35" s="303" t="s">
        <v>787</v>
      </c>
      <c r="U35" s="302">
        <v>0.53125</v>
      </c>
      <c r="V35" s="302">
        <v>0.59097222222222223</v>
      </c>
      <c r="W35" s="304">
        <v>46422</v>
      </c>
      <c r="X35" s="305" t="s">
        <v>788</v>
      </c>
      <c r="Y35" s="305" t="s">
        <v>789</v>
      </c>
      <c r="Z35" s="305">
        <v>0.43402777777777779</v>
      </c>
      <c r="AA35" s="305">
        <v>0.56944444444444442</v>
      </c>
      <c r="AB35" s="304">
        <v>46422</v>
      </c>
      <c r="AC35" s="314" t="s">
        <v>838</v>
      </c>
      <c r="AD35" s="314" t="s">
        <v>724</v>
      </c>
      <c r="AE35" s="305">
        <v>0.65277777777777779</v>
      </c>
      <c r="AF35" s="305">
        <v>0.7055555555555556</v>
      </c>
      <c r="AG35" s="305"/>
      <c r="AH35" s="305"/>
      <c r="AI35" s="305"/>
      <c r="AJ35" s="305"/>
      <c r="AK35" s="305"/>
      <c r="AL35" s="319" t="s">
        <v>482</v>
      </c>
      <c r="AM35" s="315"/>
      <c r="AN35" s="316"/>
      <c r="AO35" s="309">
        <f>7654*B35</f>
        <v>30616</v>
      </c>
      <c r="AP35" s="309">
        <f>1225*B35</f>
        <v>4900</v>
      </c>
      <c r="AQ35" s="309">
        <f>SUM(1521+1800)*B35</f>
        <v>13284</v>
      </c>
      <c r="AR35" s="309">
        <f>AO35+AP35+AQ35</f>
        <v>48800</v>
      </c>
      <c r="AS35" s="309">
        <f>230*B35</f>
        <v>920</v>
      </c>
      <c r="AT35" s="309">
        <f>AS35*16%</f>
        <v>147.20000000000002</v>
      </c>
      <c r="AU35" s="311">
        <f>AR35+AS35+AT35</f>
        <v>49867.199999999997</v>
      </c>
    </row>
    <row r="36" spans="2:47" s="281" customFormat="1" ht="12.75" customHeight="1">
      <c r="B36" s="292">
        <v>18</v>
      </c>
      <c r="C36" s="293"/>
      <c r="D36" s="294"/>
      <c r="E36" s="294"/>
      <c r="F36" s="312" t="s">
        <v>562</v>
      </c>
      <c r="G36" s="296" t="s">
        <v>839</v>
      </c>
      <c r="H36" s="301"/>
      <c r="I36" s="301"/>
      <c r="J36" s="301"/>
      <c r="K36" s="301"/>
      <c r="L36" s="301"/>
      <c r="M36" s="301"/>
      <c r="N36" s="303"/>
      <c r="O36" s="323"/>
      <c r="P36" s="302"/>
      <c r="Q36" s="302"/>
      <c r="R36" s="301">
        <v>46419</v>
      </c>
      <c r="S36" s="302" t="s">
        <v>840</v>
      </c>
      <c r="T36" s="303" t="s">
        <v>841</v>
      </c>
      <c r="U36" s="302">
        <v>0.55902777777777779</v>
      </c>
      <c r="V36" s="302">
        <v>0.61250000000000004</v>
      </c>
      <c r="W36" s="304">
        <v>46422</v>
      </c>
      <c r="X36" s="305" t="s">
        <v>823</v>
      </c>
      <c r="Y36" s="305" t="s">
        <v>824</v>
      </c>
      <c r="Z36" s="305">
        <v>0.46875</v>
      </c>
      <c r="AA36" s="305">
        <v>0.57430555555555551</v>
      </c>
      <c r="AB36" s="304">
        <v>46422</v>
      </c>
      <c r="AC36" s="314" t="s">
        <v>842</v>
      </c>
      <c r="AD36" s="314" t="s">
        <v>843</v>
      </c>
      <c r="AE36" s="305">
        <v>0.78333333333333333</v>
      </c>
      <c r="AF36" s="305">
        <v>0.83819444444444446</v>
      </c>
      <c r="AG36" s="305"/>
      <c r="AH36" s="305"/>
      <c r="AI36" s="305"/>
      <c r="AJ36" s="305"/>
      <c r="AK36" s="305"/>
      <c r="AL36" s="319" t="s">
        <v>457</v>
      </c>
      <c r="AM36" s="315"/>
      <c r="AN36" s="316"/>
      <c r="AO36" s="309">
        <f>5200*B36</f>
        <v>93600</v>
      </c>
      <c r="AP36" s="309">
        <f>832*B36</f>
        <v>14976</v>
      </c>
      <c r="AQ36" s="309">
        <f>SUM(1125+1339)*B36</f>
        <v>44352</v>
      </c>
      <c r="AR36" s="309">
        <f>AO36+AP36+AQ36</f>
        <v>152928</v>
      </c>
      <c r="AS36" s="309">
        <f>230*B36</f>
        <v>4140</v>
      </c>
      <c r="AT36" s="309">
        <f>AS36*16%</f>
        <v>662.4</v>
      </c>
      <c r="AU36" s="311">
        <f>AR36+AS36+AT36</f>
        <v>157730.4</v>
      </c>
    </row>
    <row r="37" spans="2:47" s="281" customFormat="1" ht="12.75" customHeight="1">
      <c r="B37" s="292">
        <v>10</v>
      </c>
      <c r="C37" s="293"/>
      <c r="D37" s="294"/>
      <c r="E37" s="294"/>
      <c r="F37" s="312" t="s">
        <v>567</v>
      </c>
      <c r="G37" s="296"/>
      <c r="H37" s="301"/>
      <c r="I37" s="301"/>
      <c r="J37" s="301"/>
      <c r="K37" s="301"/>
      <c r="L37" s="301"/>
      <c r="M37" s="301">
        <v>46419</v>
      </c>
      <c r="N37" s="301" t="s">
        <v>844</v>
      </c>
      <c r="O37" s="323" t="s">
        <v>730</v>
      </c>
      <c r="P37" s="302">
        <v>0.25</v>
      </c>
      <c r="Q37" s="302">
        <v>0.2951388888888889</v>
      </c>
      <c r="R37" s="301">
        <v>46419</v>
      </c>
      <c r="S37" s="302" t="s">
        <v>836</v>
      </c>
      <c r="T37" s="303" t="s">
        <v>787</v>
      </c>
      <c r="U37" s="302">
        <v>0.33680555555555558</v>
      </c>
      <c r="V37" s="302">
        <v>0.3972222222222222</v>
      </c>
      <c r="W37" s="304">
        <v>46422</v>
      </c>
      <c r="X37" s="305" t="s">
        <v>794</v>
      </c>
      <c r="Y37" s="305" t="s">
        <v>789</v>
      </c>
      <c r="Z37" s="305">
        <v>0.60763888888888884</v>
      </c>
      <c r="AA37" s="305">
        <v>0.74652777777777779</v>
      </c>
      <c r="AB37" s="304">
        <v>46422</v>
      </c>
      <c r="AC37" s="314" t="s">
        <v>845</v>
      </c>
      <c r="AD37" s="314" t="s">
        <v>732</v>
      </c>
      <c r="AE37" s="305">
        <v>0.79861111111111116</v>
      </c>
      <c r="AF37" s="305">
        <v>0.85</v>
      </c>
      <c r="AG37" s="305"/>
      <c r="AH37" s="305"/>
      <c r="AI37" s="305"/>
      <c r="AJ37" s="305"/>
      <c r="AK37" s="305"/>
      <c r="AL37" s="319" t="s">
        <v>482</v>
      </c>
      <c r="AM37" s="315"/>
      <c r="AN37" s="316"/>
      <c r="AO37" s="309">
        <f>8992*B37</f>
        <v>89920</v>
      </c>
      <c r="AP37" s="309">
        <f>1439*B37</f>
        <v>14390</v>
      </c>
      <c r="AQ37" s="309">
        <f>SUM(1104+1800)*B37</f>
        <v>29040</v>
      </c>
      <c r="AR37" s="309">
        <f>AO37+AP37+AQ37</f>
        <v>133350</v>
      </c>
      <c r="AS37" s="309">
        <f>230*B37</f>
        <v>2300</v>
      </c>
      <c r="AT37" s="309">
        <f>AS37*16%</f>
        <v>368</v>
      </c>
      <c r="AU37" s="311">
        <f>AR37+AS37+AT37</f>
        <v>136018</v>
      </c>
    </row>
    <row r="38" spans="2:47" s="281" customFormat="1" ht="12.75" customHeight="1">
      <c r="B38" s="292">
        <v>2</v>
      </c>
      <c r="C38" s="293"/>
      <c r="D38" s="294"/>
      <c r="E38" s="294"/>
      <c r="F38" s="312" t="s">
        <v>572</v>
      </c>
      <c r="G38" s="296" t="s">
        <v>573</v>
      </c>
      <c r="H38" s="301"/>
      <c r="I38" s="301"/>
      <c r="J38" s="301"/>
      <c r="K38" s="301"/>
      <c r="L38" s="301"/>
      <c r="M38" s="298">
        <v>46039</v>
      </c>
      <c r="N38" s="303" t="s">
        <v>574</v>
      </c>
      <c r="O38" s="323" t="s">
        <v>575</v>
      </c>
      <c r="P38" s="302">
        <v>0.68819444444444444</v>
      </c>
      <c r="Q38" s="302">
        <v>0.76736111111111116</v>
      </c>
      <c r="R38" s="301">
        <v>46419</v>
      </c>
      <c r="S38" s="302" t="s">
        <v>836</v>
      </c>
      <c r="T38" s="303" t="s">
        <v>787</v>
      </c>
      <c r="U38" s="302">
        <v>0.33680555555555558</v>
      </c>
      <c r="V38" s="302">
        <v>0.3972222222222222</v>
      </c>
      <c r="W38" s="304">
        <v>46422</v>
      </c>
      <c r="X38" s="305" t="s">
        <v>788</v>
      </c>
      <c r="Y38" s="305" t="s">
        <v>789</v>
      </c>
      <c r="Z38" s="305">
        <v>0.43402777777777779</v>
      </c>
      <c r="AA38" s="305">
        <v>0.56944444444444442</v>
      </c>
      <c r="AB38" s="304">
        <v>46422</v>
      </c>
      <c r="AC38" s="314" t="s">
        <v>576</v>
      </c>
      <c r="AD38" s="314" t="s">
        <v>577</v>
      </c>
      <c r="AE38" s="305">
        <v>0.62847222222222221</v>
      </c>
      <c r="AF38" s="305">
        <v>0.69861111111111107</v>
      </c>
      <c r="AG38" s="305"/>
      <c r="AH38" s="305"/>
      <c r="AI38" s="305"/>
      <c r="AJ38" s="305"/>
      <c r="AK38" s="305"/>
      <c r="AL38" s="319" t="s">
        <v>482</v>
      </c>
      <c r="AM38" s="315"/>
      <c r="AN38" s="316"/>
      <c r="AO38" s="309">
        <f>5200*B38</f>
        <v>10400</v>
      </c>
      <c r="AP38" s="309">
        <f>832*B38</f>
        <v>1664</v>
      </c>
      <c r="AQ38" s="309">
        <f>SUM(1530+1800)*B38</f>
        <v>6660</v>
      </c>
      <c r="AR38" s="309">
        <f>AO38+AP38+AQ38</f>
        <v>18724</v>
      </c>
      <c r="AS38" s="309">
        <f>230*B38</f>
        <v>460</v>
      </c>
      <c r="AT38" s="309">
        <f>AS38*16%</f>
        <v>73.600000000000009</v>
      </c>
      <c r="AU38" s="311">
        <f>AR38+AS38+AT38</f>
        <v>19257.599999999999</v>
      </c>
    </row>
    <row r="39" spans="2:47" s="281" customFormat="1" ht="12.75" customHeight="1">
      <c r="B39" s="292">
        <v>1</v>
      </c>
      <c r="C39" s="293"/>
      <c r="D39" s="294"/>
      <c r="E39" s="294"/>
      <c r="F39" s="312" t="s">
        <v>578</v>
      </c>
      <c r="G39" s="296" t="s">
        <v>830</v>
      </c>
      <c r="H39" s="301"/>
      <c r="I39" s="302"/>
      <c r="J39" s="301"/>
      <c r="K39" s="300"/>
      <c r="L39" s="300"/>
      <c r="M39" s="301">
        <v>46419</v>
      </c>
      <c r="N39" s="303" t="s">
        <v>579</v>
      </c>
      <c r="O39" s="323" t="s">
        <v>580</v>
      </c>
      <c r="P39" s="302">
        <v>0.21527777777777779</v>
      </c>
      <c r="Q39" s="302">
        <v>0.2986111111111111</v>
      </c>
      <c r="R39" s="301">
        <v>46419</v>
      </c>
      <c r="S39" s="302" t="s">
        <v>542</v>
      </c>
      <c r="T39" s="303" t="s">
        <v>787</v>
      </c>
      <c r="U39" s="302">
        <v>0.44097222222222221</v>
      </c>
      <c r="V39" s="302">
        <v>0.57916666666666672</v>
      </c>
      <c r="W39" s="304">
        <v>46422</v>
      </c>
      <c r="X39" s="305" t="s">
        <v>544</v>
      </c>
      <c r="Y39" s="305" t="s">
        <v>789</v>
      </c>
      <c r="Z39" s="305">
        <v>0.51527777777777772</v>
      </c>
      <c r="AA39" s="305">
        <v>0.57986111111111116</v>
      </c>
      <c r="AB39" s="304">
        <v>46422</v>
      </c>
      <c r="AC39" s="314" t="s">
        <v>579</v>
      </c>
      <c r="AD39" s="314" t="s">
        <v>581</v>
      </c>
      <c r="AE39" s="305">
        <v>0.72916666666666663</v>
      </c>
      <c r="AF39" s="305">
        <v>0.8125</v>
      </c>
      <c r="AG39" s="313"/>
      <c r="AH39" s="305"/>
      <c r="AI39" s="305"/>
      <c r="AJ39" s="305"/>
      <c r="AK39" s="305"/>
      <c r="AL39" s="319" t="s">
        <v>582</v>
      </c>
      <c r="AM39" s="315"/>
      <c r="AN39" s="316"/>
      <c r="AO39" s="309">
        <f>3610*B39</f>
        <v>3610</v>
      </c>
      <c r="AP39" s="309">
        <f>578*B39</f>
        <v>578</v>
      </c>
      <c r="AQ39" s="309">
        <f>SUM(1445+1314+580)*B39</f>
        <v>3339</v>
      </c>
      <c r="AR39" s="309">
        <f>AO39+AP39+AQ39</f>
        <v>7527</v>
      </c>
      <c r="AS39" s="309">
        <f>230*B39</f>
        <v>230</v>
      </c>
      <c r="AT39" s="309">
        <f>AS39*16%</f>
        <v>36.800000000000004</v>
      </c>
      <c r="AU39" s="311">
        <f>AR39+AS39+AT39</f>
        <v>7793.8</v>
      </c>
    </row>
    <row r="40" spans="2:47" s="281" customFormat="1" ht="12.75" customHeight="1">
      <c r="B40" s="292">
        <v>5</v>
      </c>
      <c r="C40" s="293"/>
      <c r="D40" s="294"/>
      <c r="E40" s="294"/>
      <c r="F40" s="312" t="s">
        <v>583</v>
      </c>
      <c r="G40" s="296"/>
      <c r="H40" s="301"/>
      <c r="I40" s="301"/>
      <c r="J40" s="301"/>
      <c r="K40" s="301"/>
      <c r="L40" s="301"/>
      <c r="M40" s="301">
        <v>46419</v>
      </c>
      <c r="N40" s="303" t="s">
        <v>846</v>
      </c>
      <c r="O40" s="323" t="s">
        <v>739</v>
      </c>
      <c r="P40" s="302">
        <v>0.35972222222222222</v>
      </c>
      <c r="Q40" s="302">
        <v>0.41319444444444442</v>
      </c>
      <c r="R40" s="301">
        <v>46419</v>
      </c>
      <c r="S40" s="302" t="s">
        <v>791</v>
      </c>
      <c r="T40" s="303" t="s">
        <v>787</v>
      </c>
      <c r="U40" s="302">
        <v>0.53125</v>
      </c>
      <c r="V40" s="302">
        <v>0.59097222222222223</v>
      </c>
      <c r="W40" s="304">
        <v>46422</v>
      </c>
      <c r="X40" s="305" t="s">
        <v>794</v>
      </c>
      <c r="Y40" s="305" t="s">
        <v>789</v>
      </c>
      <c r="Z40" s="305">
        <v>0.60763888888888884</v>
      </c>
      <c r="AA40" s="305">
        <v>0.74652777777777779</v>
      </c>
      <c r="AB40" s="304">
        <v>46422</v>
      </c>
      <c r="AC40" s="314" t="s">
        <v>847</v>
      </c>
      <c r="AD40" s="314" t="s">
        <v>741</v>
      </c>
      <c r="AE40" s="305">
        <v>0.81597222222222221</v>
      </c>
      <c r="AF40" s="305">
        <v>0.86944444444444446</v>
      </c>
      <c r="AG40" s="305"/>
      <c r="AH40" s="305"/>
      <c r="AI40" s="305"/>
      <c r="AJ40" s="305"/>
      <c r="AK40" s="305"/>
      <c r="AL40" s="319" t="s">
        <v>482</v>
      </c>
      <c r="AM40" s="315"/>
      <c r="AN40" s="316"/>
      <c r="AO40" s="309">
        <f>8200*B40</f>
        <v>41000</v>
      </c>
      <c r="AP40" s="309">
        <f>1312*B40</f>
        <v>6560</v>
      </c>
      <c r="AQ40" s="309">
        <f>SUM(1440+1800)*B40</f>
        <v>16200</v>
      </c>
      <c r="AR40" s="309">
        <f>AO40+AP40+AQ40</f>
        <v>63760</v>
      </c>
      <c r="AS40" s="309">
        <f>230*B40</f>
        <v>1150</v>
      </c>
      <c r="AT40" s="309">
        <f>AS40*16%</f>
        <v>184</v>
      </c>
      <c r="AU40" s="311">
        <f>AR40+AS40+AT40</f>
        <v>65094</v>
      </c>
    </row>
    <row r="41" spans="2:47" s="281" customFormat="1" ht="12.75" customHeight="1">
      <c r="B41" s="292">
        <v>7</v>
      </c>
      <c r="C41" s="293"/>
      <c r="D41" s="294"/>
      <c r="E41" s="294"/>
      <c r="F41" s="312" t="s">
        <v>588</v>
      </c>
      <c r="G41" s="296"/>
      <c r="H41" s="301"/>
      <c r="I41" s="301"/>
      <c r="J41" s="301"/>
      <c r="K41" s="301"/>
      <c r="L41" s="301"/>
      <c r="M41" s="301">
        <v>46419</v>
      </c>
      <c r="N41" s="303" t="s">
        <v>848</v>
      </c>
      <c r="O41" s="303" t="s">
        <v>590</v>
      </c>
      <c r="P41" s="302">
        <v>0.3923611111111111</v>
      </c>
      <c r="Q41" s="302">
        <v>0.44791666666666669</v>
      </c>
      <c r="R41" s="301">
        <v>46419</v>
      </c>
      <c r="S41" s="302" t="s">
        <v>791</v>
      </c>
      <c r="T41" s="303" t="s">
        <v>787</v>
      </c>
      <c r="U41" s="302">
        <v>0.53125</v>
      </c>
      <c r="V41" s="302">
        <v>0.59097222222222223</v>
      </c>
      <c r="W41" s="304">
        <v>46422</v>
      </c>
      <c r="X41" s="305" t="s">
        <v>788</v>
      </c>
      <c r="Y41" s="305" t="s">
        <v>789</v>
      </c>
      <c r="Z41" s="305">
        <v>0.43402777777777779</v>
      </c>
      <c r="AA41" s="305">
        <v>0.56944444444444442</v>
      </c>
      <c r="AB41" s="304">
        <v>46422</v>
      </c>
      <c r="AC41" s="314" t="s">
        <v>637</v>
      </c>
      <c r="AD41" s="314" t="s">
        <v>593</v>
      </c>
      <c r="AE41" s="305">
        <v>0.72569444444444442</v>
      </c>
      <c r="AF41" s="305">
        <v>0.77638888888888891</v>
      </c>
      <c r="AG41" s="305"/>
      <c r="AH41" s="305"/>
      <c r="AI41" s="305"/>
      <c r="AJ41" s="305"/>
      <c r="AK41" s="305"/>
      <c r="AL41" s="309" t="s">
        <v>482</v>
      </c>
      <c r="AM41" s="315"/>
      <c r="AN41" s="316"/>
      <c r="AO41" s="309">
        <f>6200*B41</f>
        <v>43400</v>
      </c>
      <c r="AP41" s="309">
        <f>992*B41</f>
        <v>6944</v>
      </c>
      <c r="AQ41" s="309">
        <f>SUM(1540+1800)*B41</f>
        <v>23380</v>
      </c>
      <c r="AR41" s="309">
        <f>AO41+AP41+AQ41</f>
        <v>73724</v>
      </c>
      <c r="AS41" s="309">
        <f>230*B41</f>
        <v>1610</v>
      </c>
      <c r="AT41" s="309">
        <f>AS41*16%</f>
        <v>257.60000000000002</v>
      </c>
      <c r="AU41" s="311">
        <f>AR41+AS41+AT41</f>
        <v>75591.600000000006</v>
      </c>
    </row>
    <row r="42" spans="2:47" s="281" customFormat="1" ht="12.75" customHeight="1">
      <c r="B42" s="292">
        <v>10</v>
      </c>
      <c r="C42" s="293"/>
      <c r="D42" s="294"/>
      <c r="E42" s="294"/>
      <c r="F42" s="312" t="s">
        <v>594</v>
      </c>
      <c r="G42" s="296"/>
      <c r="H42" s="301"/>
      <c r="I42" s="301"/>
      <c r="J42" s="301"/>
      <c r="K42" s="301"/>
      <c r="L42" s="301"/>
      <c r="M42" s="301"/>
      <c r="N42" s="303"/>
      <c r="O42" s="323"/>
      <c r="P42" s="302"/>
      <c r="Q42" s="302"/>
      <c r="R42" s="301">
        <v>46419</v>
      </c>
      <c r="S42" s="302" t="s">
        <v>849</v>
      </c>
      <c r="T42" s="303" t="s">
        <v>850</v>
      </c>
      <c r="U42" s="302">
        <v>0.375</v>
      </c>
      <c r="V42" s="302">
        <v>0.50694444444444442</v>
      </c>
      <c r="W42" s="304">
        <v>46422</v>
      </c>
      <c r="X42" s="305" t="s">
        <v>851</v>
      </c>
      <c r="Y42" s="305" t="s">
        <v>852</v>
      </c>
      <c r="Z42" s="305">
        <v>0.53611111111111109</v>
      </c>
      <c r="AA42" s="305">
        <v>0.58402777777777781</v>
      </c>
      <c r="AB42" s="313"/>
      <c r="AC42" s="314"/>
      <c r="AD42" s="314"/>
      <c r="AE42" s="305"/>
      <c r="AF42" s="305"/>
      <c r="AG42" s="305"/>
      <c r="AH42" s="305"/>
      <c r="AI42" s="305"/>
      <c r="AJ42" s="305"/>
      <c r="AK42" s="305"/>
      <c r="AL42" s="319" t="s">
        <v>457</v>
      </c>
      <c r="AM42" s="315"/>
      <c r="AN42" s="316"/>
      <c r="AO42" s="309">
        <f>4199*B42</f>
        <v>41990</v>
      </c>
      <c r="AP42" s="309">
        <f>672*B42</f>
        <v>6720</v>
      </c>
      <c r="AQ42" s="309">
        <f>SUM(1274+999)*B42</f>
        <v>22730</v>
      </c>
      <c r="AR42" s="309">
        <f>AO42+AP42+AQ42</f>
        <v>71440</v>
      </c>
      <c r="AS42" s="309">
        <f>230*B42</f>
        <v>2300</v>
      </c>
      <c r="AT42" s="309">
        <f>AS42*16%</f>
        <v>368</v>
      </c>
      <c r="AU42" s="311">
        <f>AR42+AS42+AT42</f>
        <v>74108</v>
      </c>
    </row>
    <row r="43" spans="2:47" s="281" customFormat="1" ht="12.75" customHeight="1">
      <c r="B43" s="292">
        <v>5</v>
      </c>
      <c r="C43" s="293"/>
      <c r="D43" s="294"/>
      <c r="E43" s="294"/>
      <c r="F43" s="312" t="s">
        <v>599</v>
      </c>
      <c r="G43" s="296"/>
      <c r="H43" s="301"/>
      <c r="I43" s="301"/>
      <c r="J43" s="301"/>
      <c r="K43" s="301"/>
      <c r="L43" s="301"/>
      <c r="M43" s="301">
        <v>46419</v>
      </c>
      <c r="N43" s="303" t="s">
        <v>853</v>
      </c>
      <c r="O43" s="323" t="s">
        <v>601</v>
      </c>
      <c r="P43" s="302">
        <v>0.36249999999999999</v>
      </c>
      <c r="Q43" s="302">
        <v>0.43402777777777779</v>
      </c>
      <c r="R43" s="301">
        <v>46419</v>
      </c>
      <c r="S43" s="302" t="s">
        <v>791</v>
      </c>
      <c r="T43" s="303" t="s">
        <v>787</v>
      </c>
      <c r="U43" s="302">
        <v>0.53125</v>
      </c>
      <c r="V43" s="302">
        <v>0.59097222222222223</v>
      </c>
      <c r="W43" s="304">
        <v>46422</v>
      </c>
      <c r="X43" s="305" t="s">
        <v>788</v>
      </c>
      <c r="Y43" s="305" t="s">
        <v>789</v>
      </c>
      <c r="Z43" s="305">
        <v>0.43402777777777779</v>
      </c>
      <c r="AA43" s="305">
        <v>0.56944444444444442</v>
      </c>
      <c r="AB43" s="304">
        <v>46422</v>
      </c>
      <c r="AC43" s="314" t="s">
        <v>854</v>
      </c>
      <c r="AD43" s="314" t="s">
        <v>603</v>
      </c>
      <c r="AE43" s="305">
        <v>0.73263888888888884</v>
      </c>
      <c r="AF43" s="305">
        <v>0.81041666666666667</v>
      </c>
      <c r="AG43" s="305"/>
      <c r="AH43" s="305"/>
      <c r="AI43" s="305"/>
      <c r="AJ43" s="305"/>
      <c r="AK43" s="305"/>
      <c r="AL43" s="319" t="s">
        <v>482</v>
      </c>
      <c r="AM43" s="315"/>
      <c r="AN43" s="316"/>
      <c r="AO43" s="309">
        <f>5100*B43</f>
        <v>25500</v>
      </c>
      <c r="AP43" s="309">
        <f>816*B43</f>
        <v>4080</v>
      </c>
      <c r="AQ43" s="309">
        <f>SUM(1560+1800)*B43</f>
        <v>16800</v>
      </c>
      <c r="AR43" s="309">
        <f>AO43+AP43+AQ43</f>
        <v>46380</v>
      </c>
      <c r="AS43" s="309">
        <f>230*B43</f>
        <v>1150</v>
      </c>
      <c r="AT43" s="309">
        <f>AS43*16%</f>
        <v>184</v>
      </c>
      <c r="AU43" s="311">
        <f>AR43+AS43+AT43</f>
        <v>47714</v>
      </c>
    </row>
    <row r="44" spans="2:47" s="281" customFormat="1" ht="12.75" customHeight="1">
      <c r="B44" s="292">
        <v>7</v>
      </c>
      <c r="C44" s="293"/>
      <c r="D44" s="294"/>
      <c r="E44" s="294"/>
      <c r="F44" s="312" t="s">
        <v>604</v>
      </c>
      <c r="G44" s="296"/>
      <c r="H44" s="301"/>
      <c r="I44" s="301"/>
      <c r="J44" s="301"/>
      <c r="K44" s="301"/>
      <c r="L44" s="301"/>
      <c r="M44" s="301">
        <v>46419</v>
      </c>
      <c r="N44" s="303" t="s">
        <v>855</v>
      </c>
      <c r="O44" s="323" t="s">
        <v>753</v>
      </c>
      <c r="P44" s="302">
        <v>0.2722222222222222</v>
      </c>
      <c r="Q44" s="302">
        <v>0.34722222222222221</v>
      </c>
      <c r="R44" s="301">
        <v>46419</v>
      </c>
      <c r="S44" s="302" t="s">
        <v>791</v>
      </c>
      <c r="T44" s="303" t="s">
        <v>787</v>
      </c>
      <c r="U44" s="302">
        <v>0.53125</v>
      </c>
      <c r="V44" s="302">
        <v>0.59097222222222223</v>
      </c>
      <c r="W44" s="304">
        <v>46422</v>
      </c>
      <c r="X44" s="305" t="s">
        <v>788</v>
      </c>
      <c r="Y44" s="305" t="s">
        <v>789</v>
      </c>
      <c r="Z44" s="305">
        <v>0.43402777777777779</v>
      </c>
      <c r="AA44" s="305">
        <v>0.56944444444444442</v>
      </c>
      <c r="AB44" s="304">
        <v>46422</v>
      </c>
      <c r="AC44" s="314" t="s">
        <v>856</v>
      </c>
      <c r="AD44" s="314" t="s">
        <v>755</v>
      </c>
      <c r="AE44" s="305">
        <v>0.6875</v>
      </c>
      <c r="AF44" s="305">
        <v>0.76111111111111107</v>
      </c>
      <c r="AG44" s="305"/>
      <c r="AH44" s="305"/>
      <c r="AI44" s="305"/>
      <c r="AJ44" s="305"/>
      <c r="AK44" s="305"/>
      <c r="AL44" s="319" t="s">
        <v>482</v>
      </c>
      <c r="AM44" s="315"/>
      <c r="AN44" s="316"/>
      <c r="AO44" s="309">
        <f>5891*B44</f>
        <v>41237</v>
      </c>
      <c r="AP44" s="309">
        <f>943*B44</f>
        <v>6601</v>
      </c>
      <c r="AQ44" s="309">
        <f>SUM(1130+1800)*B44</f>
        <v>20510</v>
      </c>
      <c r="AR44" s="309">
        <f>AO44+AP44+AQ44</f>
        <v>68348</v>
      </c>
      <c r="AS44" s="309">
        <f>230*B44</f>
        <v>1610</v>
      </c>
      <c r="AT44" s="309">
        <f>AS44*16%</f>
        <v>257.60000000000002</v>
      </c>
      <c r="AU44" s="311">
        <f>AR44+AS44+AT44</f>
        <v>70215.600000000006</v>
      </c>
    </row>
    <row r="45" spans="2:47" s="281" customFormat="1" ht="12.75" customHeight="1">
      <c r="B45" s="292">
        <v>10</v>
      </c>
      <c r="C45" s="293"/>
      <c r="D45" s="294"/>
      <c r="E45" s="294"/>
      <c r="F45" s="312" t="s">
        <v>609</v>
      </c>
      <c r="G45" s="296"/>
      <c r="H45" s="301"/>
      <c r="I45" s="301"/>
      <c r="J45" s="303"/>
      <c r="K45" s="301"/>
      <c r="L45" s="301"/>
      <c r="M45" s="301">
        <v>46419</v>
      </c>
      <c r="N45" s="303" t="s">
        <v>857</v>
      </c>
      <c r="O45" s="303" t="s">
        <v>758</v>
      </c>
      <c r="P45" s="302">
        <v>0.41597222222222224</v>
      </c>
      <c r="Q45" s="302">
        <v>0.46875</v>
      </c>
      <c r="R45" s="301">
        <v>46419</v>
      </c>
      <c r="S45" s="302" t="s">
        <v>791</v>
      </c>
      <c r="T45" s="303" t="s">
        <v>787</v>
      </c>
      <c r="U45" s="302">
        <v>0.53125</v>
      </c>
      <c r="V45" s="302">
        <v>0.59097222222222223</v>
      </c>
      <c r="W45" s="304">
        <v>46422</v>
      </c>
      <c r="X45" s="305" t="s">
        <v>794</v>
      </c>
      <c r="Y45" s="305" t="s">
        <v>789</v>
      </c>
      <c r="Z45" s="305">
        <v>0.60763888888888884</v>
      </c>
      <c r="AA45" s="305">
        <v>0.74652777777777779</v>
      </c>
      <c r="AB45" s="304">
        <v>46422</v>
      </c>
      <c r="AC45" s="314" t="s">
        <v>858</v>
      </c>
      <c r="AD45" s="314" t="s">
        <v>760</v>
      </c>
      <c r="AE45" s="305">
        <v>0.79166666666666663</v>
      </c>
      <c r="AF45" s="305">
        <v>0.83750000000000002</v>
      </c>
      <c r="AG45" s="305"/>
      <c r="AH45" s="305"/>
      <c r="AI45" s="305"/>
      <c r="AJ45" s="305"/>
      <c r="AK45" s="305"/>
      <c r="AL45" s="319" t="s">
        <v>444</v>
      </c>
      <c r="AM45" s="315"/>
      <c r="AN45" s="316"/>
      <c r="AO45" s="309">
        <f>7999*B45</f>
        <v>79990</v>
      </c>
      <c r="AP45" s="309">
        <f>1280*B45</f>
        <v>12800</v>
      </c>
      <c r="AQ45" s="309">
        <f>SUM(1390+1800)*B45</f>
        <v>31900</v>
      </c>
      <c r="AR45" s="309">
        <f>AO45+AP45+AQ45</f>
        <v>124690</v>
      </c>
      <c r="AS45" s="309">
        <f>230*B45</f>
        <v>2300</v>
      </c>
      <c r="AT45" s="309">
        <f>AS45*16%</f>
        <v>368</v>
      </c>
      <c r="AU45" s="311">
        <f>AR45+AS45+AT45</f>
        <v>127358</v>
      </c>
    </row>
    <row r="46" spans="2:47" s="281" customFormat="1" ht="12.75" customHeight="1">
      <c r="B46" s="292">
        <v>6</v>
      </c>
      <c r="C46" s="293"/>
      <c r="D46" s="294"/>
      <c r="E46" s="294"/>
      <c r="F46" s="312" t="s">
        <v>614</v>
      </c>
      <c r="G46" s="296"/>
      <c r="H46" s="301"/>
      <c r="I46" s="301"/>
      <c r="J46" s="301"/>
      <c r="K46" s="301"/>
      <c r="L46" s="301"/>
      <c r="M46" s="301">
        <v>46419</v>
      </c>
      <c r="N46" s="303" t="s">
        <v>859</v>
      </c>
      <c r="O46" s="323" t="s">
        <v>616</v>
      </c>
      <c r="P46" s="302">
        <v>0.37638888888888888</v>
      </c>
      <c r="Q46" s="302">
        <v>0.4513888888888889</v>
      </c>
      <c r="R46" s="301">
        <v>46419</v>
      </c>
      <c r="S46" s="302" t="s">
        <v>791</v>
      </c>
      <c r="T46" s="303" t="s">
        <v>787</v>
      </c>
      <c r="U46" s="302">
        <v>0.53125</v>
      </c>
      <c r="V46" s="302">
        <v>0.59097222222222223</v>
      </c>
      <c r="W46" s="304">
        <v>46422</v>
      </c>
      <c r="X46" s="305" t="s">
        <v>788</v>
      </c>
      <c r="Y46" s="305" t="s">
        <v>789</v>
      </c>
      <c r="Z46" s="305">
        <v>0.43402777777777779</v>
      </c>
      <c r="AA46" s="305">
        <v>0.56944444444444442</v>
      </c>
      <c r="AB46" s="304">
        <v>46422</v>
      </c>
      <c r="AC46" s="314" t="s">
        <v>617</v>
      </c>
      <c r="AD46" s="314" t="s">
        <v>618</v>
      </c>
      <c r="AE46" s="305">
        <v>0.62847222222222221</v>
      </c>
      <c r="AF46" s="305">
        <v>0.69513888888888886</v>
      </c>
      <c r="AG46" s="305"/>
      <c r="AH46" s="305"/>
      <c r="AI46" s="305"/>
      <c r="AJ46" s="305"/>
      <c r="AK46" s="305"/>
      <c r="AL46" s="319" t="s">
        <v>482</v>
      </c>
      <c r="AM46" s="315"/>
      <c r="AN46" s="316"/>
      <c r="AO46" s="309">
        <f>6495*B46</f>
        <v>38970</v>
      </c>
      <c r="AP46" s="309">
        <f>1040*B46</f>
        <v>6240</v>
      </c>
      <c r="AQ46" s="309">
        <f>SUM(1430+1800)*B46</f>
        <v>19380</v>
      </c>
      <c r="AR46" s="309">
        <f>AO46+AP46+AQ46</f>
        <v>64590</v>
      </c>
      <c r="AS46" s="309">
        <f>230*B46</f>
        <v>1380</v>
      </c>
      <c r="AT46" s="309">
        <f>AS46*16%</f>
        <v>220.8</v>
      </c>
      <c r="AU46" s="311">
        <f>AR46+AS46+AT46</f>
        <v>66190.8</v>
      </c>
    </row>
    <row r="47" spans="2:47" s="281" customFormat="1" ht="12.75" customHeight="1">
      <c r="B47" s="292">
        <v>3</v>
      </c>
      <c r="C47" s="293"/>
      <c r="D47" s="294"/>
      <c r="E47" s="294"/>
      <c r="F47" s="312" t="s">
        <v>619</v>
      </c>
      <c r="G47" s="296"/>
      <c r="H47" s="298">
        <v>46418</v>
      </c>
      <c r="I47" s="303" t="s">
        <v>514</v>
      </c>
      <c r="J47" s="303" t="s">
        <v>620</v>
      </c>
      <c r="K47" s="302">
        <v>0.75</v>
      </c>
      <c r="L47" s="302">
        <v>0.8125</v>
      </c>
      <c r="M47" s="301">
        <v>46419</v>
      </c>
      <c r="N47" s="303" t="s">
        <v>857</v>
      </c>
      <c r="O47" s="303" t="s">
        <v>758</v>
      </c>
      <c r="P47" s="302">
        <v>0.41597222222222224</v>
      </c>
      <c r="Q47" s="302">
        <v>0.46875</v>
      </c>
      <c r="R47" s="301">
        <v>46419</v>
      </c>
      <c r="S47" s="302" t="s">
        <v>791</v>
      </c>
      <c r="T47" s="303" t="s">
        <v>787</v>
      </c>
      <c r="U47" s="302">
        <v>0.53125</v>
      </c>
      <c r="V47" s="302">
        <v>0.59097222222222223</v>
      </c>
      <c r="W47" s="304">
        <v>46422</v>
      </c>
      <c r="X47" s="305" t="s">
        <v>794</v>
      </c>
      <c r="Y47" s="305" t="s">
        <v>789</v>
      </c>
      <c r="Z47" s="305">
        <v>0.60763888888888884</v>
      </c>
      <c r="AA47" s="305">
        <v>0.74652777777777779</v>
      </c>
      <c r="AB47" s="304">
        <v>46422</v>
      </c>
      <c r="AC47" s="314" t="s">
        <v>858</v>
      </c>
      <c r="AD47" s="314" t="s">
        <v>760</v>
      </c>
      <c r="AE47" s="305">
        <v>0.79166666666666663</v>
      </c>
      <c r="AF47" s="305">
        <v>0.83750000000000002</v>
      </c>
      <c r="AG47" s="322">
        <v>46423</v>
      </c>
      <c r="AH47" s="314" t="s">
        <v>514</v>
      </c>
      <c r="AI47" s="314" t="s">
        <v>621</v>
      </c>
      <c r="AJ47" s="305">
        <v>0.41666666666666669</v>
      </c>
      <c r="AK47" s="305">
        <v>0.48194444444444445</v>
      </c>
      <c r="AL47" s="319" t="s">
        <v>692</v>
      </c>
      <c r="AM47" s="315"/>
      <c r="AN47" s="316"/>
      <c r="AO47" s="309">
        <f>4100*B47</f>
        <v>12300</v>
      </c>
      <c r="AP47" s="309">
        <f>656*B47</f>
        <v>1968</v>
      </c>
      <c r="AQ47" s="309">
        <f>SUM(1355+2304+899)*B47</f>
        <v>13674</v>
      </c>
      <c r="AR47" s="309">
        <f>AO47+AP47+AQ47</f>
        <v>27942</v>
      </c>
      <c r="AS47" s="309">
        <f>230*B47</f>
        <v>690</v>
      </c>
      <c r="AT47" s="309">
        <f>AS47*16%</f>
        <v>110.4</v>
      </c>
      <c r="AU47" s="311">
        <f>AR47+AS47+AT47</f>
        <v>28742.400000000001</v>
      </c>
    </row>
    <row r="48" spans="2:47" s="281" customFormat="1" ht="12.75" customHeight="1">
      <c r="B48" s="324">
        <v>1</v>
      </c>
      <c r="C48" s="325"/>
      <c r="D48" s="326"/>
      <c r="E48" s="326"/>
      <c r="F48" s="327" t="s">
        <v>623</v>
      </c>
      <c r="G48" s="328"/>
      <c r="H48" s="332">
        <v>46418</v>
      </c>
      <c r="I48" s="330" t="s">
        <v>514</v>
      </c>
      <c r="J48" s="330" t="s">
        <v>624</v>
      </c>
      <c r="K48" s="333">
        <v>0.55555555555555558</v>
      </c>
      <c r="L48" s="333">
        <v>0.71527777777777779</v>
      </c>
      <c r="M48" s="329">
        <v>46419</v>
      </c>
      <c r="N48" s="330" t="s">
        <v>857</v>
      </c>
      <c r="O48" s="330" t="s">
        <v>758</v>
      </c>
      <c r="P48" s="333">
        <v>0.41597222222222224</v>
      </c>
      <c r="Q48" s="333">
        <v>0.46875</v>
      </c>
      <c r="R48" s="329">
        <v>46419</v>
      </c>
      <c r="S48" s="333" t="s">
        <v>791</v>
      </c>
      <c r="T48" s="330" t="s">
        <v>787</v>
      </c>
      <c r="U48" s="333">
        <v>0.53125</v>
      </c>
      <c r="V48" s="333">
        <v>0.59097222222222223</v>
      </c>
      <c r="W48" s="334">
        <v>46422</v>
      </c>
      <c r="X48" s="335" t="s">
        <v>794</v>
      </c>
      <c r="Y48" s="335" t="s">
        <v>789</v>
      </c>
      <c r="Z48" s="335">
        <v>0.60763888888888884</v>
      </c>
      <c r="AA48" s="335">
        <v>0.74652777777777779</v>
      </c>
      <c r="AB48" s="334">
        <v>46422</v>
      </c>
      <c r="AC48" s="336" t="s">
        <v>858</v>
      </c>
      <c r="AD48" s="336" t="s">
        <v>760</v>
      </c>
      <c r="AE48" s="335">
        <v>0.79166666666666663</v>
      </c>
      <c r="AF48" s="335">
        <v>0.83750000000000002</v>
      </c>
      <c r="AG48" s="417">
        <v>46423</v>
      </c>
      <c r="AH48" s="336" t="s">
        <v>514</v>
      </c>
      <c r="AI48" s="336" t="s">
        <v>625</v>
      </c>
      <c r="AJ48" s="335">
        <v>0.41666666666666669</v>
      </c>
      <c r="AK48" s="335">
        <v>0.57986111111111116</v>
      </c>
      <c r="AL48" s="338" t="s">
        <v>692</v>
      </c>
      <c r="AM48" s="339"/>
      <c r="AN48" s="340"/>
      <c r="AO48" s="341">
        <f>4100*B48</f>
        <v>4100</v>
      </c>
      <c r="AP48" s="341">
        <f>656*B48</f>
        <v>656</v>
      </c>
      <c r="AQ48" s="341">
        <f>SUM(1355+2304+820)*B48</f>
        <v>4479</v>
      </c>
      <c r="AR48" s="341">
        <f>AO48+AP48+AQ48</f>
        <v>9235</v>
      </c>
      <c r="AS48" s="341">
        <f>230*B48</f>
        <v>230</v>
      </c>
      <c r="AT48" s="341">
        <f>AS48*16%</f>
        <v>36.800000000000004</v>
      </c>
      <c r="AU48" s="342">
        <f>AR48+AS48+AT48</f>
        <v>9501.7999999999993</v>
      </c>
    </row>
    <row r="49" spans="2:56" ht="12.75" customHeight="1">
      <c r="AL49" s="493" t="s">
        <v>626</v>
      </c>
      <c r="AM49" s="494"/>
      <c r="AN49" s="495"/>
      <c r="AO49" s="343">
        <f>SUM(AO9:AO48)</f>
        <v>2117597</v>
      </c>
      <c r="AP49" s="343">
        <f>SUM(AP9:AP48)</f>
        <v>338973</v>
      </c>
      <c r="AQ49" s="343">
        <f>SUM(AQ9:AQ48)</f>
        <v>985281.6</v>
      </c>
      <c r="AR49" s="343">
        <f>SUM(AR9:AR48)</f>
        <v>3441851.6</v>
      </c>
      <c r="AS49" s="343">
        <f>SUM(AS9:AS48)</f>
        <v>95220</v>
      </c>
      <c r="AT49" s="343">
        <f>SUM(AT9:AT48)</f>
        <v>15235.2</v>
      </c>
      <c r="AU49" s="343">
        <f>SUM(AU9:AU48)</f>
        <v>3552306.8000000003</v>
      </c>
    </row>
    <row r="50" spans="2:56" s="282" customFormat="1" ht="12.75">
      <c r="B50" s="344"/>
      <c r="AL50" s="285"/>
      <c r="AM50" s="285"/>
      <c r="AN50" s="285"/>
      <c r="AO50" s="345"/>
      <c r="AP50" s="345"/>
      <c r="AQ50" s="345"/>
      <c r="AR50" s="345"/>
      <c r="AS50" s="345"/>
      <c r="AT50" s="345"/>
      <c r="AU50" s="345"/>
    </row>
    <row r="51" spans="2:56" ht="12.75">
      <c r="B51" s="286"/>
      <c r="C51" s="487" t="s">
        <v>627</v>
      </c>
      <c r="D51" s="488"/>
      <c r="E51" s="488"/>
      <c r="F51" s="489"/>
      <c r="AT51" s="287"/>
    </row>
    <row r="52" spans="2:56" ht="12.75" customHeight="1">
      <c r="B52" s="286"/>
      <c r="C52" s="280" t="s">
        <v>400</v>
      </c>
      <c r="D52" s="280" t="s">
        <v>400</v>
      </c>
      <c r="H52" s="487" t="s">
        <v>401</v>
      </c>
      <c r="I52" s="488"/>
      <c r="J52" s="488"/>
      <c r="K52" s="488"/>
      <c r="L52" s="488"/>
      <c r="M52" s="488"/>
      <c r="N52" s="488"/>
      <c r="O52" s="488"/>
      <c r="P52" s="488"/>
      <c r="Q52" s="489"/>
      <c r="R52" s="288"/>
      <c r="S52" s="288"/>
      <c r="T52" s="288"/>
      <c r="U52" s="288"/>
      <c r="V52" s="288"/>
      <c r="W52" s="487" t="s">
        <v>402</v>
      </c>
      <c r="X52" s="488"/>
      <c r="Y52" s="488"/>
      <c r="Z52" s="488"/>
      <c r="AA52" s="488"/>
      <c r="AB52" s="488"/>
      <c r="AC52" s="488"/>
      <c r="AD52" s="488"/>
      <c r="AE52" s="488"/>
      <c r="AF52" s="488"/>
      <c r="AG52" s="488"/>
      <c r="AH52" s="488"/>
      <c r="AI52" s="488"/>
      <c r="AJ52" s="488"/>
      <c r="AK52" s="489"/>
      <c r="AT52" s="287"/>
    </row>
    <row r="53" spans="2:56" ht="27">
      <c r="B53" s="346" t="s">
        <v>403</v>
      </c>
      <c r="C53" s="347" t="s">
        <v>404</v>
      </c>
      <c r="D53" s="348" t="s">
        <v>405</v>
      </c>
      <c r="E53" s="348" t="s">
        <v>406</v>
      </c>
      <c r="F53" s="348" t="s">
        <v>407</v>
      </c>
      <c r="G53" s="348" t="s">
        <v>408</v>
      </c>
      <c r="H53" s="348"/>
      <c r="I53" s="348"/>
      <c r="J53" s="348"/>
      <c r="K53" s="348"/>
      <c r="L53" s="348"/>
      <c r="M53" s="348" t="s">
        <v>409</v>
      </c>
      <c r="N53" s="348" t="s">
        <v>410</v>
      </c>
      <c r="O53" s="348" t="s">
        <v>411</v>
      </c>
      <c r="P53" s="348" t="s">
        <v>412</v>
      </c>
      <c r="Q53" s="348" t="s">
        <v>413</v>
      </c>
      <c r="R53" s="348"/>
      <c r="S53" s="348"/>
      <c r="T53" s="348"/>
      <c r="U53" s="348"/>
      <c r="V53" s="349"/>
      <c r="W53" s="350" t="s">
        <v>409</v>
      </c>
      <c r="X53" s="351" t="s">
        <v>410</v>
      </c>
      <c r="Y53" s="351" t="s">
        <v>411</v>
      </c>
      <c r="Z53" s="351" t="s">
        <v>412</v>
      </c>
      <c r="AA53" s="351" t="s">
        <v>413</v>
      </c>
      <c r="AB53" s="351" t="s">
        <v>409</v>
      </c>
      <c r="AC53" s="351" t="s">
        <v>410</v>
      </c>
      <c r="AD53" s="351" t="s">
        <v>411</v>
      </c>
      <c r="AE53" s="351" t="s">
        <v>412</v>
      </c>
      <c r="AF53" s="351" t="s">
        <v>413</v>
      </c>
      <c r="AG53" s="351" t="s">
        <v>409</v>
      </c>
      <c r="AH53" s="351" t="s">
        <v>410</v>
      </c>
      <c r="AI53" s="351" t="s">
        <v>411</v>
      </c>
      <c r="AJ53" s="351" t="s">
        <v>412</v>
      </c>
      <c r="AK53" s="351" t="s">
        <v>413</v>
      </c>
      <c r="AL53" s="347" t="s">
        <v>414</v>
      </c>
      <c r="AM53" s="348" t="s">
        <v>415</v>
      </c>
      <c r="AN53" s="348" t="s">
        <v>416</v>
      </c>
      <c r="AO53" s="348" t="s">
        <v>417</v>
      </c>
      <c r="AP53" s="348" t="s">
        <v>418</v>
      </c>
      <c r="AQ53" s="348" t="s">
        <v>419</v>
      </c>
      <c r="AR53" s="352" t="s">
        <v>70</v>
      </c>
      <c r="AS53" s="348" t="s">
        <v>420</v>
      </c>
      <c r="AT53" s="348" t="s">
        <v>418</v>
      </c>
      <c r="AU53" s="352" t="s">
        <v>70</v>
      </c>
    </row>
    <row r="54" spans="2:56" s="281" customFormat="1" ht="12.75" customHeight="1">
      <c r="B54" s="353">
        <v>1</v>
      </c>
      <c r="C54" s="354"/>
      <c r="D54" s="355"/>
      <c r="E54" s="355"/>
      <c r="F54" s="356"/>
      <c r="G54" s="357"/>
      <c r="H54" s="358"/>
      <c r="I54" s="358"/>
      <c r="J54" s="358"/>
      <c r="K54" s="358"/>
      <c r="L54" s="358"/>
      <c r="M54" s="359"/>
      <c r="N54" s="359"/>
      <c r="O54" s="359"/>
      <c r="P54" s="360"/>
      <c r="Q54" s="360"/>
      <c r="R54" s="360"/>
      <c r="S54" s="360"/>
      <c r="T54" s="360"/>
      <c r="U54" s="360"/>
      <c r="V54" s="360"/>
      <c r="W54" s="361"/>
      <c r="X54" s="361"/>
      <c r="Y54" s="361"/>
      <c r="Z54" s="361"/>
      <c r="AA54" s="361"/>
      <c r="AB54" s="362"/>
      <c r="AC54" s="363"/>
      <c r="AD54" s="363"/>
      <c r="AE54" s="361"/>
      <c r="AF54" s="361"/>
      <c r="AG54" s="361"/>
      <c r="AH54" s="361"/>
      <c r="AI54" s="361"/>
      <c r="AJ54" s="361"/>
      <c r="AK54" s="361"/>
      <c r="AL54" s="364"/>
      <c r="AM54" s="365"/>
      <c r="AN54" s="366"/>
      <c r="AO54" s="367"/>
      <c r="AP54" s="367"/>
      <c r="AQ54" s="367"/>
      <c r="AR54" s="368"/>
      <c r="AS54" s="369"/>
      <c r="AT54" s="369"/>
      <c r="AU54" s="310"/>
    </row>
    <row r="55" spans="2:56" s="281" customFormat="1" ht="12.75" customHeight="1">
      <c r="B55" s="370">
        <v>2</v>
      </c>
      <c r="C55" s="325"/>
      <c r="D55" s="326"/>
      <c r="E55" s="326"/>
      <c r="F55" s="327"/>
      <c r="G55" s="327"/>
      <c r="H55" s="371"/>
      <c r="I55" s="371"/>
      <c r="J55" s="371"/>
      <c r="K55" s="371"/>
      <c r="L55" s="371"/>
      <c r="M55" s="330"/>
      <c r="N55" s="372"/>
      <c r="O55" s="372"/>
      <c r="P55" s="333"/>
      <c r="Q55" s="333"/>
      <c r="R55" s="333"/>
      <c r="S55" s="333"/>
      <c r="T55" s="333"/>
      <c r="U55" s="333"/>
      <c r="V55" s="333"/>
      <c r="W55" s="335"/>
      <c r="X55" s="335"/>
      <c r="Y55" s="335"/>
      <c r="Z55" s="335"/>
      <c r="AA55" s="335"/>
      <c r="AB55" s="373"/>
      <c r="AC55" s="336"/>
      <c r="AD55" s="336"/>
      <c r="AE55" s="335"/>
      <c r="AF55" s="335"/>
      <c r="AG55" s="335"/>
      <c r="AH55" s="335"/>
      <c r="AI55" s="335"/>
      <c r="AJ55" s="335"/>
      <c r="AK55" s="335"/>
      <c r="AL55" s="341"/>
      <c r="AM55" s="339"/>
      <c r="AN55" s="340"/>
      <c r="AO55" s="374"/>
      <c r="AP55" s="374"/>
      <c r="AQ55" s="374"/>
      <c r="AR55" s="374"/>
      <c r="AS55" s="375"/>
      <c r="AT55" s="375"/>
      <c r="AU55" s="310">
        <f>SUM(AR55:AT55)</f>
        <v>0</v>
      </c>
    </row>
    <row r="56" spans="2:56" ht="12.75">
      <c r="AL56" s="493" t="s">
        <v>626</v>
      </c>
      <c r="AM56" s="494"/>
      <c r="AN56" s="495"/>
      <c r="AO56" s="343">
        <f>SUM(AO54:AO55)</f>
        <v>0</v>
      </c>
      <c r="AP56" s="343">
        <f>SUM(AP54:AP55)</f>
        <v>0</v>
      </c>
      <c r="AQ56" s="343">
        <f>SUM(AQ54:AQ55)</f>
        <v>0</v>
      </c>
      <c r="AR56" s="343">
        <f>SUM(AR54:AR55)</f>
        <v>0</v>
      </c>
      <c r="AS56" s="343">
        <f>SUM(AS54:AS55)</f>
        <v>0</v>
      </c>
      <c r="AT56" s="343">
        <f>SUM(AT54:AT55)</f>
        <v>0</v>
      </c>
      <c r="AU56" s="343">
        <f>SUM(AU54:AU55)</f>
        <v>0</v>
      </c>
    </row>
    <row r="57" spans="2:56" ht="12.75">
      <c r="B57" s="286"/>
      <c r="C57" s="487" t="s">
        <v>628</v>
      </c>
      <c r="D57" s="488"/>
      <c r="E57" s="488"/>
      <c r="F57" s="489"/>
      <c r="AT57" s="287"/>
    </row>
    <row r="58" spans="2:56" ht="12.75" customHeight="1">
      <c r="B58" s="286"/>
      <c r="C58" s="280" t="s">
        <v>400</v>
      </c>
      <c r="D58" s="280" t="s">
        <v>400</v>
      </c>
      <c r="H58" s="487" t="s">
        <v>401</v>
      </c>
      <c r="I58" s="488"/>
      <c r="J58" s="488"/>
      <c r="K58" s="488"/>
      <c r="L58" s="488"/>
      <c r="M58" s="488"/>
      <c r="N58" s="488"/>
      <c r="O58" s="488"/>
      <c r="P58" s="488"/>
      <c r="Q58" s="489"/>
      <c r="R58" s="288"/>
      <c r="S58" s="288"/>
      <c r="T58" s="288"/>
      <c r="U58" s="288"/>
      <c r="V58" s="288"/>
      <c r="W58" s="487" t="s">
        <v>402</v>
      </c>
      <c r="X58" s="488"/>
      <c r="Y58" s="48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9"/>
      <c r="AT58" s="287"/>
    </row>
    <row r="59" spans="2:56" ht="27">
      <c r="B59" s="346" t="s">
        <v>403</v>
      </c>
      <c r="C59" s="347" t="s">
        <v>404</v>
      </c>
      <c r="D59" s="348" t="s">
        <v>405</v>
      </c>
      <c r="E59" s="348" t="s">
        <v>406</v>
      </c>
      <c r="F59" s="348" t="s">
        <v>407</v>
      </c>
      <c r="G59" s="349" t="s">
        <v>408</v>
      </c>
      <c r="H59" s="350"/>
      <c r="I59" s="351"/>
      <c r="J59" s="351"/>
      <c r="K59" s="351"/>
      <c r="L59" s="351"/>
      <c r="M59" s="376" t="s">
        <v>409</v>
      </c>
      <c r="N59" s="347" t="s">
        <v>410</v>
      </c>
      <c r="O59" s="348" t="s">
        <v>411</v>
      </c>
      <c r="P59" s="348" t="s">
        <v>412</v>
      </c>
      <c r="Q59" s="348" t="s">
        <v>413</v>
      </c>
      <c r="R59" s="348" t="s">
        <v>409</v>
      </c>
      <c r="S59" s="348" t="s">
        <v>410</v>
      </c>
      <c r="T59" s="348" t="s">
        <v>411</v>
      </c>
      <c r="U59" s="348" t="s">
        <v>412</v>
      </c>
      <c r="V59" s="349" t="s">
        <v>413</v>
      </c>
      <c r="W59" s="350" t="s">
        <v>409</v>
      </c>
      <c r="X59" s="351" t="s">
        <v>410</v>
      </c>
      <c r="Y59" s="351" t="s">
        <v>411</v>
      </c>
      <c r="Z59" s="351" t="s">
        <v>412</v>
      </c>
      <c r="AA59" s="351" t="s">
        <v>413</v>
      </c>
      <c r="AB59" s="351" t="s">
        <v>409</v>
      </c>
      <c r="AC59" s="351" t="s">
        <v>410</v>
      </c>
      <c r="AD59" s="351" t="s">
        <v>411</v>
      </c>
      <c r="AE59" s="351" t="s">
        <v>412</v>
      </c>
      <c r="AF59" s="351" t="s">
        <v>413</v>
      </c>
      <c r="AG59" s="351" t="s">
        <v>409</v>
      </c>
      <c r="AH59" s="351" t="s">
        <v>410</v>
      </c>
      <c r="AI59" s="351" t="s">
        <v>411</v>
      </c>
      <c r="AJ59" s="351" t="s">
        <v>412</v>
      </c>
      <c r="AK59" s="351" t="s">
        <v>413</v>
      </c>
      <c r="AL59" s="347" t="s">
        <v>414</v>
      </c>
      <c r="AM59" s="348" t="s">
        <v>415</v>
      </c>
      <c r="AN59" s="348" t="s">
        <v>416</v>
      </c>
      <c r="AO59" s="348" t="s">
        <v>417</v>
      </c>
      <c r="AP59" s="348" t="s">
        <v>418</v>
      </c>
      <c r="AQ59" s="348" t="s">
        <v>419</v>
      </c>
      <c r="AR59" s="352" t="s">
        <v>70</v>
      </c>
      <c r="AS59" s="348" t="s">
        <v>420</v>
      </c>
      <c r="AT59" s="348" t="s">
        <v>418</v>
      </c>
      <c r="AU59" s="352" t="s">
        <v>70</v>
      </c>
    </row>
    <row r="60" spans="2:56" s="281" customFormat="1" ht="12.75" customHeight="1">
      <c r="B60" s="377">
        <v>1</v>
      </c>
      <c r="C60" s="378"/>
      <c r="D60" s="379"/>
      <c r="E60" s="379"/>
      <c r="F60" s="380"/>
      <c r="G60" s="381"/>
      <c r="H60" s="382"/>
      <c r="I60" s="382"/>
      <c r="J60" s="382"/>
      <c r="K60" s="382"/>
      <c r="L60" s="382"/>
      <c r="M60" s="383"/>
      <c r="N60" s="303"/>
      <c r="O60" s="303"/>
      <c r="P60" s="302"/>
      <c r="Q60" s="302"/>
      <c r="R60" s="303"/>
      <c r="S60" s="303"/>
      <c r="T60" s="303"/>
      <c r="U60" s="302"/>
      <c r="V60" s="302"/>
      <c r="W60" s="384"/>
      <c r="X60" s="384"/>
      <c r="Y60" s="385"/>
      <c r="Z60" s="386"/>
      <c r="AA60" s="386"/>
      <c r="AB60" s="387"/>
      <c r="AC60" s="387"/>
      <c r="AD60" s="387"/>
      <c r="AE60" s="387"/>
      <c r="AF60" s="387"/>
      <c r="AG60" s="388"/>
      <c r="AH60" s="388"/>
      <c r="AI60" s="388"/>
      <c r="AJ60" s="388"/>
      <c r="AK60" s="388"/>
      <c r="AL60" s="389"/>
      <c r="AM60" s="389"/>
      <c r="AN60" s="389"/>
      <c r="AO60" s="310">
        <v>0</v>
      </c>
      <c r="AP60" s="310">
        <v>0</v>
      </c>
      <c r="AQ60" s="310">
        <v>0</v>
      </c>
      <c r="AR60" s="310">
        <f>AO60+AP60+AQ60</f>
        <v>0</v>
      </c>
      <c r="AS60" s="310">
        <v>0</v>
      </c>
      <c r="AT60" s="310">
        <f>AS60*16%</f>
        <v>0</v>
      </c>
      <c r="AU60" s="390">
        <f>AR60+AS60+AT60</f>
        <v>0</v>
      </c>
    </row>
    <row r="61" spans="2:56" s="281" customFormat="1" ht="12.75" customHeight="1">
      <c r="B61" s="377">
        <v>2</v>
      </c>
      <c r="C61" s="391"/>
      <c r="D61" s="294"/>
      <c r="E61" s="294"/>
      <c r="F61" s="295"/>
      <c r="G61" s="296"/>
      <c r="H61" s="392"/>
      <c r="I61" s="392"/>
      <c r="J61" s="392"/>
      <c r="K61" s="392"/>
      <c r="L61" s="392"/>
      <c r="M61" s="393"/>
      <c r="N61" s="393"/>
      <c r="O61" s="303"/>
      <c r="P61" s="393"/>
      <c r="Q61" s="393"/>
      <c r="R61" s="303"/>
      <c r="S61" s="303"/>
      <c r="T61" s="303"/>
      <c r="U61" s="302"/>
      <c r="V61" s="302"/>
      <c r="W61" s="304"/>
      <c r="X61" s="314"/>
      <c r="Y61" s="314"/>
      <c r="Z61" s="305"/>
      <c r="AA61" s="305"/>
      <c r="AB61" s="394"/>
      <c r="AC61" s="394"/>
      <c r="AD61" s="394"/>
      <c r="AE61" s="394"/>
      <c r="AF61" s="394"/>
      <c r="AG61" s="394"/>
      <c r="AH61" s="394"/>
      <c r="AI61" s="394"/>
      <c r="AJ61" s="394"/>
      <c r="AK61" s="394"/>
      <c r="AL61" s="395"/>
      <c r="AM61" s="310"/>
      <c r="AN61" s="310"/>
      <c r="AO61" s="310">
        <v>0</v>
      </c>
      <c r="AP61" s="310">
        <v>0</v>
      </c>
      <c r="AQ61" s="310">
        <v>0</v>
      </c>
      <c r="AR61" s="310">
        <f>AO61+AP61+AQ61</f>
        <v>0</v>
      </c>
      <c r="AS61" s="310">
        <v>0</v>
      </c>
      <c r="AT61" s="310">
        <f>AS61*16%</f>
        <v>0</v>
      </c>
      <c r="AU61" s="390">
        <f>AR61+AS61+AT61</f>
        <v>0</v>
      </c>
    </row>
    <row r="62" spans="2:56" s="281" customFormat="1" ht="12.75" customHeight="1">
      <c r="B62" s="377">
        <v>3</v>
      </c>
      <c r="C62" s="391"/>
      <c r="D62" s="294"/>
      <c r="E62" s="294"/>
      <c r="F62" s="295"/>
      <c r="G62" s="296"/>
      <c r="H62" s="392"/>
      <c r="I62" s="392"/>
      <c r="J62" s="392"/>
      <c r="K62" s="392"/>
      <c r="L62" s="392"/>
      <c r="M62" s="303"/>
      <c r="N62" s="303"/>
      <c r="O62" s="303"/>
      <c r="P62" s="302"/>
      <c r="Q62" s="302"/>
      <c r="R62" s="303"/>
      <c r="S62" s="303"/>
      <c r="T62" s="303"/>
      <c r="U62" s="302"/>
      <c r="V62" s="302"/>
      <c r="W62" s="304"/>
      <c r="X62" s="314"/>
      <c r="Y62" s="314"/>
      <c r="Z62" s="305"/>
      <c r="AA62" s="305"/>
      <c r="AB62" s="394"/>
      <c r="AC62" s="394"/>
      <c r="AD62" s="394"/>
      <c r="AE62" s="394"/>
      <c r="AF62" s="394"/>
      <c r="AG62" s="394"/>
      <c r="AH62" s="394"/>
      <c r="AI62" s="394"/>
      <c r="AJ62" s="394"/>
      <c r="AK62" s="394"/>
      <c r="AL62" s="395"/>
      <c r="AM62" s="310"/>
      <c r="AN62" s="310"/>
      <c r="AO62" s="310"/>
      <c r="AP62" s="310"/>
      <c r="AQ62" s="310"/>
      <c r="AR62" s="310"/>
      <c r="AS62" s="310"/>
      <c r="AT62" s="310"/>
      <c r="AU62" s="390">
        <f>AR62+AS62+AT62</f>
        <v>0</v>
      </c>
    </row>
    <row r="63" spans="2:56" ht="12.75">
      <c r="AL63" s="493" t="s">
        <v>626</v>
      </c>
      <c r="AM63" s="494"/>
      <c r="AN63" s="495"/>
      <c r="AO63" s="343">
        <f>SUM(AO60:AO62)</f>
        <v>0</v>
      </c>
      <c r="AP63" s="343">
        <f>SUM(AP60:AP62)</f>
        <v>0</v>
      </c>
      <c r="AQ63" s="343">
        <f>SUM(AQ60:AQ62)</f>
        <v>0</v>
      </c>
      <c r="AR63" s="343">
        <f>SUM(AR60:AR62)</f>
        <v>0</v>
      </c>
      <c r="AS63" s="343">
        <f>SUM(AS60:AS62)</f>
        <v>0</v>
      </c>
      <c r="AT63" s="343">
        <f>SUM(AT60:AT62)</f>
        <v>0</v>
      </c>
      <c r="AU63" s="343">
        <f>SUM(AU60:AU62)</f>
        <v>0</v>
      </c>
    </row>
    <row r="64" spans="2:56" ht="12.75">
      <c r="C64" s="396"/>
      <c r="D64" s="396"/>
      <c r="E64" s="396"/>
      <c r="F64" s="396"/>
      <c r="G64" s="396"/>
      <c r="H64" s="396"/>
      <c r="I64" s="396"/>
      <c r="J64" s="396"/>
      <c r="K64" s="396"/>
      <c r="L64" s="396"/>
      <c r="Q64" s="280" t="s">
        <v>116</v>
      </c>
      <c r="AE64" s="397"/>
      <c r="BD64" s="398"/>
    </row>
    <row r="66" spans="2:58" ht="12.75">
      <c r="BE66" s="399"/>
      <c r="BF66" s="400"/>
    </row>
    <row r="67" spans="2:58" ht="14.45"/>
    <row r="68" spans="2:58" ht="12.75">
      <c r="B68" s="286"/>
      <c r="C68" s="487" t="s">
        <v>629</v>
      </c>
      <c r="D68" s="488"/>
      <c r="E68" s="488"/>
      <c r="F68" s="489"/>
      <c r="AT68" s="287"/>
    </row>
    <row r="69" spans="2:58" ht="12.75" customHeight="1">
      <c r="B69" s="286"/>
      <c r="C69" s="280" t="s">
        <v>400</v>
      </c>
      <c r="D69" s="280" t="s">
        <v>400</v>
      </c>
      <c r="H69" s="487" t="s">
        <v>401</v>
      </c>
      <c r="I69" s="488"/>
      <c r="J69" s="488"/>
      <c r="K69" s="488"/>
      <c r="L69" s="488"/>
      <c r="M69" s="488"/>
      <c r="N69" s="488"/>
      <c r="O69" s="488"/>
      <c r="P69" s="488"/>
      <c r="Q69" s="488"/>
      <c r="R69" s="488"/>
      <c r="S69" s="488"/>
      <c r="T69" s="488"/>
      <c r="U69" s="488"/>
      <c r="V69" s="489"/>
      <c r="W69" s="487" t="s">
        <v>402</v>
      </c>
      <c r="X69" s="488"/>
      <c r="Y69" s="488"/>
      <c r="Z69" s="488"/>
      <c r="AA69" s="488"/>
      <c r="AB69" s="488"/>
      <c r="AC69" s="488"/>
      <c r="AD69" s="488"/>
      <c r="AE69" s="488"/>
      <c r="AF69" s="488"/>
      <c r="AG69" s="488"/>
      <c r="AH69" s="488"/>
      <c r="AI69" s="488"/>
      <c r="AJ69" s="488"/>
      <c r="AK69" s="489"/>
      <c r="AT69" s="287"/>
    </row>
    <row r="70" spans="2:58" ht="27">
      <c r="B70" s="346" t="s">
        <v>403</v>
      </c>
      <c r="C70" s="347" t="s">
        <v>404</v>
      </c>
      <c r="D70" s="348" t="s">
        <v>405</v>
      </c>
      <c r="E70" s="348" t="s">
        <v>406</v>
      </c>
      <c r="F70" s="348" t="s">
        <v>407</v>
      </c>
      <c r="G70" s="348" t="s">
        <v>408</v>
      </c>
      <c r="H70" s="348"/>
      <c r="I70" s="348"/>
      <c r="J70" s="348"/>
      <c r="K70" s="348"/>
      <c r="L70" s="348"/>
      <c r="M70" s="348" t="s">
        <v>409</v>
      </c>
      <c r="N70" s="348" t="s">
        <v>410</v>
      </c>
      <c r="O70" s="348" t="s">
        <v>411</v>
      </c>
      <c r="P70" s="348" t="s">
        <v>412</v>
      </c>
      <c r="Q70" s="348" t="s">
        <v>413</v>
      </c>
      <c r="R70" s="348" t="s">
        <v>409</v>
      </c>
      <c r="S70" s="348" t="s">
        <v>410</v>
      </c>
      <c r="T70" s="348" t="s">
        <v>411</v>
      </c>
      <c r="U70" s="348" t="s">
        <v>412</v>
      </c>
      <c r="V70" s="348" t="s">
        <v>413</v>
      </c>
      <c r="W70" s="348" t="s">
        <v>409</v>
      </c>
      <c r="X70" s="348" t="s">
        <v>410</v>
      </c>
      <c r="Y70" s="348" t="s">
        <v>411</v>
      </c>
      <c r="Z70" s="348" t="s">
        <v>412</v>
      </c>
      <c r="AA70" s="348" t="s">
        <v>413</v>
      </c>
      <c r="AB70" s="348" t="s">
        <v>409</v>
      </c>
      <c r="AC70" s="348" t="s">
        <v>410</v>
      </c>
      <c r="AD70" s="348" t="s">
        <v>411</v>
      </c>
      <c r="AE70" s="348" t="s">
        <v>412</v>
      </c>
      <c r="AF70" s="348" t="s">
        <v>413</v>
      </c>
      <c r="AG70" s="348"/>
      <c r="AH70" s="348"/>
      <c r="AI70" s="348"/>
      <c r="AJ70" s="348"/>
      <c r="AK70" s="348"/>
      <c r="AL70" s="348" t="s">
        <v>414</v>
      </c>
      <c r="AM70" s="348" t="s">
        <v>415</v>
      </c>
      <c r="AN70" s="348" t="s">
        <v>416</v>
      </c>
      <c r="AO70" s="348" t="s">
        <v>417</v>
      </c>
      <c r="AP70" s="348" t="s">
        <v>418</v>
      </c>
      <c r="AQ70" s="348" t="s">
        <v>419</v>
      </c>
      <c r="AR70" s="352" t="s">
        <v>70</v>
      </c>
      <c r="AS70" s="348" t="s">
        <v>420</v>
      </c>
      <c r="AT70" s="348" t="s">
        <v>418</v>
      </c>
      <c r="AU70" s="352" t="s">
        <v>70</v>
      </c>
    </row>
    <row r="71" spans="2:58" ht="13.5">
      <c r="B71" s="353">
        <v>1</v>
      </c>
      <c r="C71" s="354"/>
      <c r="D71" s="355"/>
      <c r="E71" s="355"/>
      <c r="F71" s="356"/>
      <c r="G71" s="357"/>
      <c r="H71" s="358"/>
      <c r="I71" s="358"/>
      <c r="J71" s="358"/>
      <c r="K71" s="358"/>
      <c r="L71" s="358"/>
      <c r="M71" s="359"/>
      <c r="N71" s="359"/>
      <c r="O71" s="359"/>
      <c r="P71" s="360"/>
      <c r="Q71" s="360"/>
      <c r="R71" s="301">
        <v>46419</v>
      </c>
      <c r="S71" s="302" t="s">
        <v>799</v>
      </c>
      <c r="T71" s="303" t="s">
        <v>787</v>
      </c>
      <c r="U71" s="302">
        <v>0.57291666666666663</v>
      </c>
      <c r="V71" s="302">
        <v>0.625</v>
      </c>
      <c r="W71" s="304">
        <v>46422</v>
      </c>
      <c r="X71" s="305" t="s">
        <v>800</v>
      </c>
      <c r="Y71" s="305" t="s">
        <v>789</v>
      </c>
      <c r="Z71" s="305">
        <v>0.65138888888888891</v>
      </c>
      <c r="AA71" s="305">
        <v>0.78125</v>
      </c>
      <c r="AB71" s="304"/>
      <c r="AC71" s="314"/>
      <c r="AD71" s="314"/>
      <c r="AE71" s="305"/>
      <c r="AF71" s="305"/>
      <c r="AG71" s="305"/>
      <c r="AH71" s="305"/>
      <c r="AI71" s="305"/>
      <c r="AJ71" s="305"/>
      <c r="AK71" s="305"/>
      <c r="AL71" s="319" t="s">
        <v>457</v>
      </c>
      <c r="AM71" s="315"/>
      <c r="AN71" s="316"/>
      <c r="AO71" s="320">
        <f>5497*B71</f>
        <v>5497</v>
      </c>
      <c r="AP71" s="309">
        <f>880*B71</f>
        <v>880</v>
      </c>
      <c r="AQ71" s="309">
        <f>SUM(1275+1380)*B71</f>
        <v>2655</v>
      </c>
      <c r="AR71" s="309">
        <f>AO71+AP71+AQ71</f>
        <v>9032</v>
      </c>
      <c r="AS71" s="309">
        <f>230*B71</f>
        <v>230</v>
      </c>
      <c r="AT71" s="309">
        <f>AS71*16%</f>
        <v>36.800000000000004</v>
      </c>
      <c r="AU71" s="311">
        <f>AR71+AS71+AT71</f>
        <v>9298.7999999999993</v>
      </c>
      <c r="AV71" s="281"/>
    </row>
    <row r="72" spans="2:58" ht="13.5">
      <c r="B72" s="401">
        <v>1</v>
      </c>
      <c r="C72" s="293"/>
      <c r="D72" s="294"/>
      <c r="E72" s="294"/>
      <c r="F72" s="312"/>
      <c r="G72" s="296"/>
      <c r="H72" s="392"/>
      <c r="I72" s="392"/>
      <c r="J72" s="392"/>
      <c r="K72" s="392"/>
      <c r="L72" s="392"/>
      <c r="M72" s="303"/>
      <c r="N72" s="303"/>
      <c r="O72" s="303"/>
      <c r="P72" s="302"/>
      <c r="Q72" s="302"/>
      <c r="R72" s="301">
        <v>46419</v>
      </c>
      <c r="S72" s="302" t="s">
        <v>799</v>
      </c>
      <c r="T72" s="303" t="s">
        <v>787</v>
      </c>
      <c r="U72" s="302">
        <v>0.57291666666666663</v>
      </c>
      <c r="V72" s="302">
        <v>0.625</v>
      </c>
      <c r="W72" s="304">
        <v>46422</v>
      </c>
      <c r="X72" s="305" t="s">
        <v>800</v>
      </c>
      <c r="Y72" s="305" t="s">
        <v>789</v>
      </c>
      <c r="Z72" s="305">
        <v>0.65138888888888891</v>
      </c>
      <c r="AA72" s="305">
        <v>0.78125</v>
      </c>
      <c r="AB72" s="304"/>
      <c r="AC72" s="314"/>
      <c r="AD72" s="314"/>
      <c r="AE72" s="305"/>
      <c r="AF72" s="305"/>
      <c r="AG72" s="305"/>
      <c r="AH72" s="305"/>
      <c r="AI72" s="305"/>
      <c r="AJ72" s="305"/>
      <c r="AK72" s="305"/>
      <c r="AL72" s="319" t="s">
        <v>457</v>
      </c>
      <c r="AM72" s="315"/>
      <c r="AN72" s="316"/>
      <c r="AO72" s="320">
        <f>5497*B72</f>
        <v>5497</v>
      </c>
      <c r="AP72" s="309">
        <f>880*B72</f>
        <v>880</v>
      </c>
      <c r="AQ72" s="309">
        <f>SUM(1275+1380)*B72</f>
        <v>2655</v>
      </c>
      <c r="AR72" s="309">
        <f>AO72+AP72+AQ72</f>
        <v>9032</v>
      </c>
      <c r="AS72" s="309">
        <f>230*B72</f>
        <v>230</v>
      </c>
      <c r="AT72" s="309">
        <f>AS72*16%</f>
        <v>36.800000000000004</v>
      </c>
      <c r="AU72" s="311">
        <f>AR72+AS72+AT72</f>
        <v>9298.7999999999993</v>
      </c>
      <c r="AV72" s="281"/>
    </row>
    <row r="73" spans="2:58" ht="12.75" customHeight="1">
      <c r="AL73" s="496" t="s">
        <v>626</v>
      </c>
      <c r="AM73" s="497"/>
      <c r="AN73" s="498"/>
      <c r="AO73" s="343">
        <f>SUM(AO71:AO72)</f>
        <v>10994</v>
      </c>
      <c r="AP73" s="343">
        <f>SUM(AP71:AP72)</f>
        <v>1760</v>
      </c>
      <c r="AQ73" s="343">
        <f>SUM(AQ71:AQ72)</f>
        <v>5310</v>
      </c>
      <c r="AR73" s="343">
        <f>SUM(AR71:AR72)</f>
        <v>18064</v>
      </c>
      <c r="AS73" s="343">
        <f>SUM(AS71:AS72)</f>
        <v>460</v>
      </c>
      <c r="AT73" s="343">
        <f>SUM(AT71:AT72)</f>
        <v>73.600000000000009</v>
      </c>
      <c r="AU73" s="343">
        <f>SUM(AU71:AU72)</f>
        <v>18597.599999999999</v>
      </c>
    </row>
    <row r="74" spans="2:58" ht="12.75">
      <c r="C74" s="396"/>
      <c r="D74" s="396"/>
      <c r="E74" s="396"/>
      <c r="F74" s="396"/>
      <c r="G74" s="396"/>
      <c r="H74" s="396"/>
      <c r="I74" s="396"/>
      <c r="J74" s="396"/>
      <c r="K74" s="396"/>
      <c r="L74" s="396"/>
      <c r="Q74" s="280" t="s">
        <v>116</v>
      </c>
      <c r="AE74" s="397"/>
      <c r="AT74" s="398"/>
    </row>
    <row r="75" spans="2:58" ht="14.45"/>
    <row r="76" spans="2:58" ht="12.75" customHeight="1">
      <c r="AL76" s="496" t="s">
        <v>626</v>
      </c>
      <c r="AM76" s="497"/>
      <c r="AN76" s="498"/>
      <c r="AO76" s="402">
        <f>AO63+AO73</f>
        <v>10994</v>
      </c>
      <c r="AP76" s="402">
        <f>AP63+AP73</f>
        <v>1760</v>
      </c>
      <c r="AQ76" s="402">
        <f>AQ63+AQ73</f>
        <v>5310</v>
      </c>
      <c r="AR76" s="402">
        <f>AR63+AR73</f>
        <v>18064</v>
      </c>
      <c r="AS76" s="402">
        <f>AS63+AS73</f>
        <v>460</v>
      </c>
      <c r="AT76" s="402">
        <f>AT63+AT73</f>
        <v>73.600000000000009</v>
      </c>
      <c r="AU76" s="402">
        <f>AU63+AU73</f>
        <v>18597.599999999999</v>
      </c>
    </row>
    <row r="77" spans="2:58" ht="12.75">
      <c r="AU77" s="399">
        <f>AU73-AT73-AP73</f>
        <v>16764</v>
      </c>
      <c r="AV77" s="400" t="s">
        <v>630</v>
      </c>
    </row>
  </sheetData>
  <mergeCells count="20">
    <mergeCell ref="AL73:AN73"/>
    <mergeCell ref="AL76:AN76"/>
    <mergeCell ref="H58:Q58"/>
    <mergeCell ref="W58:AK58"/>
    <mergeCell ref="AL63:AN63"/>
    <mergeCell ref="C68:F68"/>
    <mergeCell ref="H69:V69"/>
    <mergeCell ref="W69:AK69"/>
    <mergeCell ref="AL49:AN49"/>
    <mergeCell ref="C51:F51"/>
    <mergeCell ref="H52:Q52"/>
    <mergeCell ref="W52:AK52"/>
    <mergeCell ref="AL56:AN56"/>
    <mergeCell ref="C57:F57"/>
    <mergeCell ref="B1:AU1"/>
    <mergeCell ref="B2:AU2"/>
    <mergeCell ref="B3:AU3"/>
    <mergeCell ref="C6:F6"/>
    <mergeCell ref="H7:V7"/>
    <mergeCell ref="W7:AK7"/>
  </mergeCells>
  <pageMargins left="0.70866141732283472" right="0.70866141732283472" top="0.74803149606299213" bottom="0.74803149606299213" header="0.31496062992125984" footer="0.31496062992125984"/>
  <pageSetup scale="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D446-B0E4-4310-B5A0-B00619F2B763}">
  <sheetPr>
    <tabColor theme="0"/>
  </sheetPr>
  <dimension ref="A1:N127"/>
  <sheetViews>
    <sheetView topLeftCell="A116" zoomScale="70" zoomScaleNormal="70" workbookViewId="0">
      <selection activeCell="G118" sqref="G118"/>
    </sheetView>
  </sheetViews>
  <sheetFormatPr defaultColWidth="8.85546875" defaultRowHeight="15"/>
  <cols>
    <col min="1" max="1" width="20.7109375" customWidth="1"/>
    <col min="2" max="2" width="49.140625" customWidth="1"/>
    <col min="3" max="3" width="10.5703125" customWidth="1"/>
    <col min="4" max="5" width="13.85546875" customWidth="1"/>
    <col min="6" max="6" width="16.85546875" customWidth="1"/>
    <col min="7" max="8" width="12.5703125" bestFit="1" customWidth="1"/>
    <col min="9" max="9" width="14.28515625" bestFit="1" customWidth="1"/>
    <col min="10" max="10" width="19.28515625" customWidth="1"/>
    <col min="11" max="11" width="9.140625"/>
    <col min="12" max="12" width="12.28515625" bestFit="1" customWidth="1"/>
  </cols>
  <sheetData>
    <row r="1" spans="1:10">
      <c r="A1" s="438" t="s">
        <v>44</v>
      </c>
      <c r="B1" s="439"/>
      <c r="C1" s="439"/>
      <c r="D1" s="439"/>
      <c r="E1" s="439"/>
      <c r="F1" s="439"/>
      <c r="G1" s="439"/>
      <c r="H1" s="439"/>
      <c r="I1" s="439"/>
      <c r="J1" s="440"/>
    </row>
    <row r="2" spans="1:10">
      <c r="A2" s="441"/>
      <c r="B2" s="442"/>
      <c r="C2" s="442"/>
      <c r="D2" s="442"/>
      <c r="E2" s="442"/>
      <c r="F2" s="442"/>
      <c r="G2" s="442"/>
      <c r="H2" s="442"/>
      <c r="I2" s="442"/>
      <c r="J2" s="443"/>
    </row>
    <row r="3" spans="1:10">
      <c r="A3" s="441"/>
      <c r="B3" s="442"/>
      <c r="C3" s="442"/>
      <c r="D3" s="442"/>
      <c r="E3" s="442"/>
      <c r="F3" s="442"/>
      <c r="G3" s="442"/>
      <c r="H3" s="442"/>
      <c r="I3" s="442"/>
      <c r="J3" s="443"/>
    </row>
    <row r="4" spans="1:10">
      <c r="A4" s="441"/>
      <c r="B4" s="442"/>
      <c r="C4" s="442"/>
      <c r="D4" s="442"/>
      <c r="E4" s="442"/>
      <c r="F4" s="442"/>
      <c r="G4" s="442"/>
      <c r="H4" s="442"/>
      <c r="I4" s="442"/>
      <c r="J4" s="443"/>
    </row>
    <row r="5" spans="1:10">
      <c r="A5" s="444"/>
      <c r="B5" s="445"/>
      <c r="C5" s="445"/>
      <c r="D5" s="445"/>
      <c r="E5" s="445"/>
      <c r="F5" s="445"/>
      <c r="G5" s="445"/>
      <c r="H5" s="445"/>
      <c r="I5" s="445"/>
      <c r="J5" s="446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>
      <c r="A7" s="2" t="s">
        <v>45</v>
      </c>
      <c r="B7" s="447" t="s">
        <v>3</v>
      </c>
      <c r="C7" s="447"/>
      <c r="D7" s="447"/>
      <c r="E7" s="447"/>
      <c r="F7" s="447"/>
      <c r="G7" s="447"/>
      <c r="H7" s="447"/>
      <c r="I7" s="447"/>
      <c r="J7" s="447"/>
    </row>
    <row r="8" spans="1:10" ht="15.75">
      <c r="A8" s="2" t="s">
        <v>46</v>
      </c>
      <c r="B8" s="448" t="s">
        <v>47</v>
      </c>
      <c r="C8" s="448"/>
      <c r="D8" s="448"/>
      <c r="E8" s="448"/>
      <c r="F8" s="448"/>
      <c r="G8" s="448"/>
      <c r="H8" s="448"/>
      <c r="I8" s="448"/>
      <c r="J8" s="448"/>
    </row>
    <row r="9" spans="1:10" ht="15.75">
      <c r="A9" s="2" t="s">
        <v>48</v>
      </c>
      <c r="B9" s="449" t="s">
        <v>49</v>
      </c>
      <c r="C9" s="449"/>
      <c r="D9" s="449"/>
      <c r="E9" s="449"/>
      <c r="F9" s="449"/>
      <c r="G9" s="449"/>
      <c r="H9" s="449"/>
      <c r="I9" s="449"/>
      <c r="J9" s="449"/>
    </row>
    <row r="10" spans="1:10" ht="15.75">
      <c r="A10" s="2" t="s">
        <v>50</v>
      </c>
      <c r="B10" s="450" t="s">
        <v>51</v>
      </c>
      <c r="C10" s="450"/>
      <c r="D10" s="450"/>
      <c r="E10" s="450"/>
      <c r="F10" s="450"/>
      <c r="G10" s="450"/>
      <c r="H10" s="450"/>
      <c r="I10" s="450"/>
      <c r="J10" s="450"/>
    </row>
    <row r="11" spans="1:10" ht="15.75">
      <c r="A11" s="2" t="s">
        <v>52</v>
      </c>
      <c r="B11" s="450" t="s">
        <v>53</v>
      </c>
      <c r="C11" s="450"/>
      <c r="D11" s="450"/>
      <c r="E11" s="450"/>
      <c r="F11" s="450"/>
      <c r="G11" s="450"/>
      <c r="H11" s="450"/>
      <c r="I11" s="450"/>
      <c r="J11" s="450"/>
    </row>
    <row r="12" spans="1:10" ht="15.75">
      <c r="A12" s="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2" t="s">
        <v>56</v>
      </c>
      <c r="B13" s="450"/>
      <c r="C13" s="450"/>
      <c r="D13" s="450"/>
      <c r="E13" s="450"/>
      <c r="F13" s="450"/>
      <c r="G13" s="450"/>
      <c r="H13" s="450"/>
      <c r="I13" s="450"/>
      <c r="J13" s="450"/>
    </row>
    <row r="14" spans="1:10">
      <c r="A14" s="3" t="s">
        <v>57</v>
      </c>
      <c r="B14" s="4" t="s">
        <v>58</v>
      </c>
      <c r="C14" s="5" t="s">
        <v>59</v>
      </c>
      <c r="D14" s="6">
        <v>0</v>
      </c>
      <c r="E14" s="7"/>
      <c r="F14" s="451" t="s">
        <v>60</v>
      </c>
      <c r="G14" s="451"/>
      <c r="H14" s="452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ht="15" customHeight="1">
      <c r="A17" s="431" t="s">
        <v>61</v>
      </c>
      <c r="B17" s="432"/>
      <c r="C17" s="7"/>
      <c r="D17" s="7"/>
      <c r="E17" s="7"/>
      <c r="F17" s="7"/>
      <c r="G17" s="7"/>
      <c r="H17" s="7"/>
      <c r="I17" s="7"/>
      <c r="J17" s="7"/>
    </row>
    <row r="18" spans="1:12">
      <c r="A18" s="78" t="s">
        <v>62</v>
      </c>
      <c r="B18" s="79" t="s">
        <v>13</v>
      </c>
      <c r="C18" s="80" t="s">
        <v>63</v>
      </c>
      <c r="D18" s="80" t="s">
        <v>64</v>
      </c>
      <c r="E18" s="80" t="s">
        <v>65</v>
      </c>
      <c r="F18" s="80" t="s">
        <v>66</v>
      </c>
      <c r="G18" s="80" t="s">
        <v>67</v>
      </c>
      <c r="H18" s="80" t="s">
        <v>68</v>
      </c>
      <c r="I18" s="80" t="s">
        <v>69</v>
      </c>
      <c r="J18" s="8" t="s">
        <v>70</v>
      </c>
    </row>
    <row r="19" spans="1:12" s="41" customFormat="1">
      <c r="A19" s="427" t="s">
        <v>71</v>
      </c>
      <c r="B19" s="70" t="s">
        <v>72</v>
      </c>
      <c r="C19" s="72">
        <v>5</v>
      </c>
      <c r="D19" s="74">
        <v>6976.6</v>
      </c>
      <c r="E19" s="72">
        <v>1</v>
      </c>
      <c r="F19" s="74">
        <f>SUM(C19*D19*E19)</f>
        <v>34883</v>
      </c>
      <c r="G19" s="74">
        <f>173*C19*E19</f>
        <v>865</v>
      </c>
      <c r="H19" s="74">
        <f>214.2*C19*E19</f>
        <v>1071</v>
      </c>
      <c r="I19" s="74">
        <f>(F19+G19+H19)*16%</f>
        <v>5891.04</v>
      </c>
      <c r="J19" s="81">
        <f>I19+H19+G19+F19</f>
        <v>42710.04</v>
      </c>
      <c r="L19" s="123"/>
    </row>
    <row r="20" spans="1:12" s="41" customFormat="1">
      <c r="A20" s="429"/>
      <c r="B20" s="14" t="s">
        <v>73</v>
      </c>
      <c r="C20" s="15">
        <v>5</v>
      </c>
      <c r="D20" s="16">
        <v>50</v>
      </c>
      <c r="E20" s="15">
        <v>1</v>
      </c>
      <c r="F20" s="16"/>
      <c r="G20" s="16"/>
      <c r="H20" s="16">
        <f>E20*D20*C20</f>
        <v>250</v>
      </c>
      <c r="I20" s="16">
        <v>0</v>
      </c>
      <c r="J20" s="17">
        <f t="shared" ref="J20:J25" si="0">I20+H20+G20+F20</f>
        <v>250</v>
      </c>
    </row>
    <row r="21" spans="1:12" s="41" customFormat="1">
      <c r="A21" s="427" t="s">
        <v>74</v>
      </c>
      <c r="B21" s="46" t="s">
        <v>72</v>
      </c>
      <c r="C21" s="47">
        <v>30</v>
      </c>
      <c r="D21" s="74">
        <v>6976.6</v>
      </c>
      <c r="E21" s="72">
        <v>3</v>
      </c>
      <c r="F21" s="74">
        <f>SUM(C21*D21*E21)</f>
        <v>627894</v>
      </c>
      <c r="G21" s="74">
        <f>173*C21*E21</f>
        <v>15570</v>
      </c>
      <c r="H21" s="74">
        <f>214.2*C21*E21</f>
        <v>19278</v>
      </c>
      <c r="I21" s="74">
        <f>(F21+G21+H21)*16%</f>
        <v>106038.72</v>
      </c>
      <c r="J21" s="81">
        <f>I21+H21+G21+F21</f>
        <v>768780.72</v>
      </c>
    </row>
    <row r="22" spans="1:12" s="41" customFormat="1">
      <c r="A22" s="428"/>
      <c r="B22" s="9" t="s">
        <v>73</v>
      </c>
      <c r="C22" s="10">
        <v>30</v>
      </c>
      <c r="D22" s="11">
        <v>50</v>
      </c>
      <c r="E22" s="10">
        <v>3</v>
      </c>
      <c r="F22" s="11"/>
      <c r="G22" s="11"/>
      <c r="H22" s="11">
        <f>E22*D22*C22</f>
        <v>4500</v>
      </c>
      <c r="I22" s="11">
        <v>0</v>
      </c>
      <c r="J22" s="12">
        <f t="shared" ref="J22" si="1">I22+H22+G22+F22</f>
        <v>4500</v>
      </c>
    </row>
    <row r="23" spans="1:12" s="41" customFormat="1">
      <c r="A23" s="428"/>
      <c r="B23" s="70" t="s">
        <v>75</v>
      </c>
      <c r="C23" s="72">
        <v>380</v>
      </c>
      <c r="D23" s="74">
        <v>4292.3999999999996</v>
      </c>
      <c r="E23" s="72">
        <v>3</v>
      </c>
      <c r="F23" s="74">
        <f>SUM(C23*D23*E23)</f>
        <v>4893335.9999999991</v>
      </c>
      <c r="G23" s="74">
        <f>106.6*C23*E23</f>
        <v>121524</v>
      </c>
      <c r="H23" s="74">
        <f>214.2*C23*E23</f>
        <v>244188</v>
      </c>
      <c r="I23" s="74">
        <f>(F23+G23+H23)*16%</f>
        <v>841447.67999999982</v>
      </c>
      <c r="J23" s="81">
        <f t="shared" si="0"/>
        <v>6100495.6799999988</v>
      </c>
    </row>
    <row r="24" spans="1:12" s="41" customFormat="1">
      <c r="A24" s="428"/>
      <c r="B24" s="42" t="s">
        <v>73</v>
      </c>
      <c r="C24" s="43">
        <v>380</v>
      </c>
      <c r="D24" s="44">
        <v>70</v>
      </c>
      <c r="E24" s="43">
        <v>3</v>
      </c>
      <c r="F24" s="44"/>
      <c r="G24" s="44"/>
      <c r="H24" s="44">
        <f>E24*D24*C24</f>
        <v>79800</v>
      </c>
      <c r="I24" s="44">
        <v>0</v>
      </c>
      <c r="J24" s="45">
        <f t="shared" si="0"/>
        <v>79800</v>
      </c>
    </row>
    <row r="25" spans="1:12" s="41" customFormat="1">
      <c r="A25" s="429"/>
      <c r="B25" s="403" t="s">
        <v>76</v>
      </c>
      <c r="C25" s="404">
        <v>-4</v>
      </c>
      <c r="D25" s="405">
        <v>-6976.6</v>
      </c>
      <c r="E25" s="404">
        <v>-3</v>
      </c>
      <c r="F25" s="405">
        <f>SUM(C25*D25*E25)</f>
        <v>-83719.200000000012</v>
      </c>
      <c r="G25" s="101">
        <f>-173*C25*E25</f>
        <v>-2076</v>
      </c>
      <c r="H25" s="101">
        <f>-214.2*C25*E25</f>
        <v>-2570.3999999999996</v>
      </c>
      <c r="I25" s="248">
        <f>(F25+G25+H25)*16%</f>
        <v>-14138.496000000001</v>
      </c>
      <c r="J25" s="102">
        <f t="shared" si="0"/>
        <v>-102504.09600000002</v>
      </c>
    </row>
    <row r="26" spans="1:12" s="41" customFormat="1">
      <c r="A26" s="406">
        <v>46418</v>
      </c>
      <c r="B26" s="407" t="s">
        <v>77</v>
      </c>
      <c r="C26" s="408">
        <v>1</v>
      </c>
      <c r="D26" s="409">
        <v>50000</v>
      </c>
      <c r="E26" s="408">
        <v>1</v>
      </c>
      <c r="F26" s="174">
        <f>SUM(C26*D26*E26)</f>
        <v>50000</v>
      </c>
      <c r="G26" s="174">
        <f>106.6*C26*E26</f>
        <v>106.6</v>
      </c>
      <c r="H26" s="174">
        <f>214.2*C26*E26</f>
        <v>214.2</v>
      </c>
      <c r="I26" s="174">
        <f>(F26+G26+H26)*16%</f>
        <v>8051.3279999999995</v>
      </c>
      <c r="J26" s="175">
        <f>I26+H26+G26+F26</f>
        <v>58372.127999999997</v>
      </c>
    </row>
    <row r="27" spans="1:12">
      <c r="A27" s="125"/>
      <c r="B27" s="124" t="s">
        <v>78</v>
      </c>
      <c r="C27" s="20"/>
      <c r="D27" s="21"/>
      <c r="E27" s="20"/>
      <c r="F27" s="22">
        <f>SUM(F19:F26)</f>
        <v>5522393.7999999989</v>
      </c>
      <c r="G27" s="22">
        <f>SUM(G19:G26)</f>
        <v>135989.6</v>
      </c>
      <c r="H27" s="22">
        <f>SUM(H19:H26)</f>
        <v>346730.8</v>
      </c>
      <c r="I27" s="22">
        <f>SUM(I19:I26)</f>
        <v>947290.27199999976</v>
      </c>
      <c r="J27" s="22">
        <f>SUM(J19:J26)</f>
        <v>6952404.4719999982</v>
      </c>
    </row>
    <row r="28" spans="1:12">
      <c r="A28" s="23"/>
      <c r="B28" s="28" t="s">
        <v>79</v>
      </c>
      <c r="C28" s="82"/>
      <c r="D28" s="83"/>
      <c r="E28" s="82"/>
      <c r="F28" s="83">
        <f>F27</f>
        <v>5522393.7999999989</v>
      </c>
      <c r="G28" s="83">
        <f t="shared" ref="G28:J28" si="2">G27</f>
        <v>135989.6</v>
      </c>
      <c r="H28" s="83">
        <f t="shared" si="2"/>
        <v>346730.8</v>
      </c>
      <c r="I28" s="83">
        <f t="shared" si="2"/>
        <v>947290.27199999976</v>
      </c>
      <c r="J28" s="83">
        <f t="shared" si="2"/>
        <v>6952404.4719999982</v>
      </c>
    </row>
    <row r="29" spans="1:12">
      <c r="A29" s="18"/>
      <c r="B29" s="29"/>
      <c r="C29" s="20"/>
      <c r="D29" s="30"/>
      <c r="E29" s="20"/>
      <c r="F29" s="30"/>
      <c r="G29" s="30"/>
      <c r="H29" s="30"/>
      <c r="I29" s="30"/>
      <c r="J29" s="30"/>
    </row>
    <row r="30" spans="1:12">
      <c r="A30" s="18"/>
      <c r="B30" s="29"/>
      <c r="C30" s="20"/>
      <c r="D30" s="30"/>
      <c r="E30" s="20"/>
      <c r="F30" s="30"/>
      <c r="G30" s="30"/>
      <c r="H30" s="30"/>
      <c r="I30" s="30"/>
      <c r="J30" s="30"/>
    </row>
    <row r="31" spans="1:12">
      <c r="A31" s="431" t="s">
        <v>80</v>
      </c>
      <c r="B31" s="432"/>
      <c r="C31" s="7"/>
      <c r="D31" s="7"/>
      <c r="E31" s="7"/>
      <c r="F31" s="7"/>
      <c r="G31" s="7"/>
      <c r="H31" s="7"/>
      <c r="I31" s="7"/>
      <c r="J31" s="7"/>
    </row>
    <row r="32" spans="1:12">
      <c r="A32" s="78" t="s">
        <v>62</v>
      </c>
      <c r="B32" s="79" t="s">
        <v>13</v>
      </c>
      <c r="C32" s="80" t="s">
        <v>63</v>
      </c>
      <c r="D32" s="80" t="s">
        <v>64</v>
      </c>
      <c r="E32" s="80" t="s">
        <v>65</v>
      </c>
      <c r="F32" s="80" t="s">
        <v>66</v>
      </c>
      <c r="G32" s="80" t="s">
        <v>27</v>
      </c>
      <c r="H32" s="80" t="s">
        <v>68</v>
      </c>
      <c r="I32" s="80" t="s">
        <v>69</v>
      </c>
      <c r="J32" s="8" t="s">
        <v>70</v>
      </c>
    </row>
    <row r="33" spans="1:10" s="41" customFormat="1" ht="48" customHeight="1">
      <c r="A33" s="434" t="s">
        <v>71</v>
      </c>
      <c r="B33" s="128" t="s">
        <v>81</v>
      </c>
      <c r="C33" s="72">
        <v>5</v>
      </c>
      <c r="D33" s="71">
        <v>0</v>
      </c>
      <c r="E33" s="72">
        <v>1</v>
      </c>
      <c r="F33" s="74">
        <f t="shared" ref="F33:F40" si="3">SUM(C33*D33*E33)</f>
        <v>0</v>
      </c>
      <c r="G33" s="71"/>
      <c r="H33" s="71">
        <f t="shared" ref="H33:H36" si="4">F33*15%</f>
        <v>0</v>
      </c>
      <c r="I33" s="71">
        <f t="shared" ref="I33:I36" si="5">(F33*16%)+(H33*16%)</f>
        <v>0</v>
      </c>
      <c r="J33" s="73">
        <f t="shared" ref="J33:J40" si="6">I33+H33+G33+F33</f>
        <v>0</v>
      </c>
    </row>
    <row r="34" spans="1:10" s="41" customFormat="1">
      <c r="A34" s="436"/>
      <c r="B34" s="126" t="s">
        <v>82</v>
      </c>
      <c r="C34" s="57">
        <v>5</v>
      </c>
      <c r="D34" s="58">
        <v>0</v>
      </c>
      <c r="E34" s="57">
        <v>1</v>
      </c>
      <c r="F34" s="59">
        <f t="shared" si="3"/>
        <v>0</v>
      </c>
      <c r="G34" s="58"/>
      <c r="H34" s="58">
        <f t="shared" si="4"/>
        <v>0</v>
      </c>
      <c r="I34" s="58">
        <f t="shared" si="5"/>
        <v>0</v>
      </c>
      <c r="J34" s="60">
        <f t="shared" si="6"/>
        <v>0</v>
      </c>
    </row>
    <row r="35" spans="1:10" s="41" customFormat="1" ht="45.75" customHeight="1">
      <c r="A35" s="435" t="s">
        <v>83</v>
      </c>
      <c r="B35" s="129" t="s">
        <v>84</v>
      </c>
      <c r="C35" s="10">
        <v>5</v>
      </c>
      <c r="D35" s="31">
        <v>0</v>
      </c>
      <c r="E35" s="10">
        <v>1</v>
      </c>
      <c r="F35" s="48">
        <f t="shared" si="3"/>
        <v>0</v>
      </c>
      <c r="G35" s="31"/>
      <c r="H35" s="31">
        <f t="shared" si="4"/>
        <v>0</v>
      </c>
      <c r="I35" s="31">
        <f t="shared" si="5"/>
        <v>0</v>
      </c>
      <c r="J35" s="32">
        <f t="shared" si="6"/>
        <v>0</v>
      </c>
    </row>
    <row r="36" spans="1:10" s="41" customFormat="1" ht="30.75" customHeight="1">
      <c r="A36" s="437"/>
      <c r="B36" s="129" t="s">
        <v>85</v>
      </c>
      <c r="C36" s="10">
        <v>410</v>
      </c>
      <c r="D36" s="31">
        <v>0</v>
      </c>
      <c r="E36" s="10">
        <v>1</v>
      </c>
      <c r="F36" s="48">
        <f t="shared" si="3"/>
        <v>0</v>
      </c>
      <c r="G36" s="31"/>
      <c r="H36" s="31">
        <f t="shared" si="4"/>
        <v>0</v>
      </c>
      <c r="I36" s="31">
        <f t="shared" si="5"/>
        <v>0</v>
      </c>
      <c r="J36" s="32">
        <f t="shared" si="6"/>
        <v>0</v>
      </c>
    </row>
    <row r="37" spans="1:10" s="41" customFormat="1" ht="73.5" customHeight="1">
      <c r="A37" s="437"/>
      <c r="B37" s="129" t="s">
        <v>86</v>
      </c>
      <c r="C37" s="10">
        <v>410</v>
      </c>
      <c r="D37" s="31">
        <v>0</v>
      </c>
      <c r="E37" s="10">
        <v>1</v>
      </c>
      <c r="F37" s="48">
        <f t="shared" si="3"/>
        <v>0</v>
      </c>
      <c r="G37" s="31"/>
      <c r="H37" s="31">
        <f>F37*15%</f>
        <v>0</v>
      </c>
      <c r="I37" s="31">
        <f>(F37*16%)+(H37*16%)</f>
        <v>0</v>
      </c>
      <c r="J37" s="32">
        <f t="shared" si="6"/>
        <v>0</v>
      </c>
    </row>
    <row r="38" spans="1:10" s="41" customFormat="1" ht="36.75">
      <c r="A38" s="437"/>
      <c r="B38" s="130" t="s">
        <v>87</v>
      </c>
      <c r="C38" s="43">
        <v>410</v>
      </c>
      <c r="D38" s="63">
        <v>200</v>
      </c>
      <c r="E38" s="10">
        <v>0</v>
      </c>
      <c r="F38" s="48">
        <f t="shared" ref="F38" si="7">SUM(C38*D38*E38)</f>
        <v>0</v>
      </c>
      <c r="G38" s="31"/>
      <c r="H38" s="31">
        <f>F38*15%</f>
        <v>0</v>
      </c>
      <c r="I38" s="31">
        <f>(F38*16%)+(H38*16%)</f>
        <v>0</v>
      </c>
      <c r="J38" s="32">
        <f t="shared" ref="J38" si="8">I38+H38+G38+F38</f>
        <v>0</v>
      </c>
    </row>
    <row r="39" spans="1:10" s="41" customFormat="1" ht="57.75" customHeight="1">
      <c r="A39" s="437"/>
      <c r="B39" s="130" t="s">
        <v>88</v>
      </c>
      <c r="C39" s="43">
        <v>410</v>
      </c>
      <c r="D39" s="63">
        <v>300</v>
      </c>
      <c r="E39" s="43">
        <v>0</v>
      </c>
      <c r="F39" s="54">
        <f t="shared" si="3"/>
        <v>0</v>
      </c>
      <c r="G39" s="63"/>
      <c r="H39" s="63">
        <f>F39*15%</f>
        <v>0</v>
      </c>
      <c r="I39" s="63">
        <f>(F39*16%)+(H39*16%)</f>
        <v>0</v>
      </c>
      <c r="J39" s="64">
        <f t="shared" si="6"/>
        <v>0</v>
      </c>
    </row>
    <row r="40" spans="1:10" s="41" customFormat="1" ht="65.25" customHeight="1">
      <c r="A40" s="437"/>
      <c r="B40" s="131" t="s">
        <v>89</v>
      </c>
      <c r="C40" s="43">
        <v>410</v>
      </c>
      <c r="D40" s="63">
        <v>600</v>
      </c>
      <c r="E40" s="43">
        <v>1</v>
      </c>
      <c r="F40" s="44">
        <f t="shared" si="3"/>
        <v>246000</v>
      </c>
      <c r="G40" s="63"/>
      <c r="H40" s="63">
        <f t="shared" ref="H40" si="9">F40*15%</f>
        <v>36900</v>
      </c>
      <c r="I40" s="63">
        <f t="shared" ref="I40" si="10">(F40*16%)+(H40*16%)</f>
        <v>45264</v>
      </c>
      <c r="J40" s="64">
        <f t="shared" si="6"/>
        <v>328164</v>
      </c>
    </row>
    <row r="41" spans="1:10" s="41" customFormat="1" ht="115.5" customHeight="1">
      <c r="A41" s="437"/>
      <c r="B41" s="130" t="s">
        <v>90</v>
      </c>
      <c r="C41" s="43">
        <v>410</v>
      </c>
      <c r="D41" s="63">
        <v>1100</v>
      </c>
      <c r="E41" s="43">
        <v>1</v>
      </c>
      <c r="F41" s="44">
        <f t="shared" ref="F41" si="11">SUM(C41*D41*E41)</f>
        <v>451000</v>
      </c>
      <c r="G41" s="63"/>
      <c r="H41" s="63">
        <f t="shared" ref="H41" si="12">F41*15%</f>
        <v>67650</v>
      </c>
      <c r="I41" s="63">
        <f t="shared" ref="I41" si="13">(F41*16%)+(H41*16%)</f>
        <v>82984</v>
      </c>
      <c r="J41" s="64">
        <f t="shared" ref="J41" si="14">I41+H41+G41+F41</f>
        <v>601634</v>
      </c>
    </row>
    <row r="42" spans="1:10" s="41" customFormat="1" ht="174" customHeight="1">
      <c r="A42" s="437"/>
      <c r="B42" s="130" t="s">
        <v>91</v>
      </c>
      <c r="C42" s="43">
        <v>410</v>
      </c>
      <c r="D42" s="63">
        <v>2000</v>
      </c>
      <c r="E42" s="43">
        <v>0</v>
      </c>
      <c r="F42" s="44">
        <f t="shared" ref="F42" si="15">SUM(C42*D42*E42)</f>
        <v>0</v>
      </c>
      <c r="G42" s="63"/>
      <c r="H42" s="63">
        <f t="shared" ref="H42" si="16">F42*15%</f>
        <v>0</v>
      </c>
      <c r="I42" s="63">
        <f t="shared" ref="I42" si="17">(F42*16%)+(H42*16%)</f>
        <v>0</v>
      </c>
      <c r="J42" s="64">
        <f t="shared" ref="J42" si="18">I42+H42+G42+F42</f>
        <v>0</v>
      </c>
    </row>
    <row r="43" spans="1:10" s="41" customFormat="1">
      <c r="A43" s="434" t="s">
        <v>92</v>
      </c>
      <c r="B43" s="128" t="s">
        <v>93</v>
      </c>
      <c r="C43" s="72">
        <v>410</v>
      </c>
      <c r="D43" s="71">
        <v>0</v>
      </c>
      <c r="E43" s="72">
        <v>1</v>
      </c>
      <c r="F43" s="74">
        <f>SUM(C43*D43*E43)</f>
        <v>0</v>
      </c>
      <c r="G43" s="71"/>
      <c r="H43" s="71">
        <f>F43*15%</f>
        <v>0</v>
      </c>
      <c r="I43" s="71">
        <f>(F43*16%)+(H43*16%)</f>
        <v>0</v>
      </c>
      <c r="J43" s="73">
        <f>I43+H43+G43+F43</f>
        <v>0</v>
      </c>
    </row>
    <row r="44" spans="1:10" s="41" customFormat="1" ht="75" customHeight="1">
      <c r="A44" s="437"/>
      <c r="B44" s="129" t="s">
        <v>94</v>
      </c>
      <c r="C44" s="10">
        <v>410</v>
      </c>
      <c r="D44" s="31">
        <v>0</v>
      </c>
      <c r="E44" s="10">
        <v>1</v>
      </c>
      <c r="F44" s="48">
        <f t="shared" ref="F44:F46" si="19">SUM(C44*D44*E44)</f>
        <v>0</v>
      </c>
      <c r="G44" s="31"/>
      <c r="H44" s="31">
        <f>F44*15%</f>
        <v>0</v>
      </c>
      <c r="I44" s="31">
        <f>(F44*16%)+(H44*16%)</f>
        <v>0</v>
      </c>
      <c r="J44" s="32">
        <f t="shared" ref="J44:J46" si="20">I44+H44+G44+F44</f>
        <v>0</v>
      </c>
    </row>
    <row r="45" spans="1:10" s="41" customFormat="1" ht="36.75">
      <c r="A45" s="437"/>
      <c r="B45" s="130" t="s">
        <v>87</v>
      </c>
      <c r="C45" s="43">
        <v>410</v>
      </c>
      <c r="D45" s="63">
        <v>200</v>
      </c>
      <c r="E45" s="10">
        <v>0</v>
      </c>
      <c r="F45" s="48">
        <f t="shared" si="19"/>
        <v>0</v>
      </c>
      <c r="G45" s="31"/>
      <c r="H45" s="31">
        <f>F45*15%</f>
        <v>0</v>
      </c>
      <c r="I45" s="31">
        <f>(F45*16%)+(H45*16%)</f>
        <v>0</v>
      </c>
      <c r="J45" s="32">
        <f t="shared" si="20"/>
        <v>0</v>
      </c>
    </row>
    <row r="46" spans="1:10" s="41" customFormat="1" ht="60" customHeight="1">
      <c r="A46" s="437"/>
      <c r="B46" s="130" t="s">
        <v>88</v>
      </c>
      <c r="C46" s="43">
        <v>410</v>
      </c>
      <c r="D46" s="63">
        <v>300</v>
      </c>
      <c r="E46" s="43">
        <v>0</v>
      </c>
      <c r="F46" s="133">
        <f t="shared" si="19"/>
        <v>0</v>
      </c>
      <c r="G46" s="63"/>
      <c r="H46" s="63">
        <f>F46*15%</f>
        <v>0</v>
      </c>
      <c r="I46" s="63">
        <f>(F46*16%)+(H46*16%)</f>
        <v>0</v>
      </c>
      <c r="J46" s="64">
        <f t="shared" si="20"/>
        <v>0</v>
      </c>
    </row>
    <row r="47" spans="1:10" s="41" customFormat="1" ht="30" customHeight="1">
      <c r="A47" s="437"/>
      <c r="B47" s="129" t="s">
        <v>95</v>
      </c>
      <c r="C47" s="10">
        <v>410</v>
      </c>
      <c r="D47" s="31">
        <v>0</v>
      </c>
      <c r="E47" s="10">
        <v>1</v>
      </c>
      <c r="F47" s="48">
        <f t="shared" ref="F47" si="21">SUM(C47*D47*E47)</f>
        <v>0</v>
      </c>
      <c r="G47" s="31"/>
      <c r="H47" s="31">
        <f t="shared" ref="H47" si="22">F47*15%</f>
        <v>0</v>
      </c>
      <c r="I47" s="31">
        <f t="shared" ref="I47" si="23">(F47*16%)+(H47*16%)</f>
        <v>0</v>
      </c>
      <c r="J47" s="32">
        <f t="shared" ref="J47" si="24">I47+H47+G47+F47</f>
        <v>0</v>
      </c>
    </row>
    <row r="48" spans="1:10" s="41" customFormat="1" ht="49.5">
      <c r="A48" s="437"/>
      <c r="B48" s="130" t="s">
        <v>96</v>
      </c>
      <c r="C48" s="43">
        <v>410</v>
      </c>
      <c r="D48" s="63">
        <v>300</v>
      </c>
      <c r="E48" s="43">
        <v>0</v>
      </c>
      <c r="F48" s="48"/>
      <c r="G48" s="31"/>
      <c r="H48" s="31"/>
      <c r="I48" s="31"/>
      <c r="J48" s="32"/>
    </row>
    <row r="49" spans="1:10" s="41" customFormat="1" ht="45" customHeight="1">
      <c r="A49" s="437"/>
      <c r="B49" s="131" t="s">
        <v>97</v>
      </c>
      <c r="C49" s="43">
        <v>410</v>
      </c>
      <c r="D49" s="63">
        <v>0</v>
      </c>
      <c r="E49" s="43">
        <v>1</v>
      </c>
      <c r="F49" s="11">
        <f t="shared" ref="F49" si="25">SUM(C49*D49*E49)</f>
        <v>0</v>
      </c>
      <c r="G49" s="31"/>
      <c r="H49" s="31">
        <f t="shared" ref="H49" si="26">F49*15%</f>
        <v>0</v>
      </c>
      <c r="I49" s="31">
        <f t="shared" ref="I49" si="27">(F49*16%)+(H49*16%)</f>
        <v>0</v>
      </c>
      <c r="J49" s="32">
        <f t="shared" ref="J49" si="28">I49+H49+G49+F49</f>
        <v>0</v>
      </c>
    </row>
    <row r="50" spans="1:10" s="41" customFormat="1">
      <c r="A50" s="427" t="s">
        <v>98</v>
      </c>
      <c r="B50" s="128" t="s">
        <v>93</v>
      </c>
      <c r="C50" s="72">
        <v>410</v>
      </c>
      <c r="D50" s="71">
        <v>0</v>
      </c>
      <c r="E50" s="72"/>
      <c r="F50" s="74">
        <f>SUM(C50*D50*E50)</f>
        <v>0</v>
      </c>
      <c r="G50" s="71"/>
      <c r="H50" s="71">
        <f>F50*15%</f>
        <v>0</v>
      </c>
      <c r="I50" s="71">
        <f>(F50*16%)+(H50*16%)</f>
        <v>0</v>
      </c>
      <c r="J50" s="73">
        <f>I50+H50+G50+F50</f>
        <v>0</v>
      </c>
    </row>
    <row r="51" spans="1:10" s="41" customFormat="1" ht="72.75" customHeight="1">
      <c r="A51" s="428"/>
      <c r="B51" s="129" t="s">
        <v>86</v>
      </c>
      <c r="C51" s="10">
        <v>410</v>
      </c>
      <c r="D51" s="31">
        <v>0</v>
      </c>
      <c r="E51" s="10">
        <v>1</v>
      </c>
      <c r="F51" s="48">
        <f t="shared" ref="F51:F53" si="29">SUM(C51*D51*E51)</f>
        <v>0</v>
      </c>
      <c r="G51" s="31"/>
      <c r="H51" s="31">
        <f>F51*15%</f>
        <v>0</v>
      </c>
      <c r="I51" s="31">
        <f>(F51*16%)+(H51*16%)</f>
        <v>0</v>
      </c>
      <c r="J51" s="32">
        <f t="shared" ref="J51:J53" si="30">I51+H51+G51+F51</f>
        <v>0</v>
      </c>
    </row>
    <row r="52" spans="1:10" s="41" customFormat="1" ht="36.75">
      <c r="A52" s="428"/>
      <c r="B52" s="130" t="s">
        <v>87</v>
      </c>
      <c r="C52" s="43">
        <v>410</v>
      </c>
      <c r="D52" s="63">
        <v>200</v>
      </c>
      <c r="E52" s="10">
        <v>0</v>
      </c>
      <c r="F52" s="48">
        <f t="shared" si="29"/>
        <v>0</v>
      </c>
      <c r="G52" s="31"/>
      <c r="H52" s="31">
        <f>F52*15%</f>
        <v>0</v>
      </c>
      <c r="I52" s="31">
        <f>(F52*16%)+(H52*16%)</f>
        <v>0</v>
      </c>
      <c r="J52" s="32">
        <f t="shared" si="30"/>
        <v>0</v>
      </c>
    </row>
    <row r="53" spans="1:10" s="41" customFormat="1" ht="49.5">
      <c r="A53" s="428"/>
      <c r="B53" s="130" t="s">
        <v>88</v>
      </c>
      <c r="C53" s="43">
        <v>410</v>
      </c>
      <c r="D53" s="63">
        <v>300</v>
      </c>
      <c r="E53" s="43">
        <v>0</v>
      </c>
      <c r="F53" s="133">
        <f t="shared" si="29"/>
        <v>0</v>
      </c>
      <c r="G53" s="63"/>
      <c r="H53" s="63">
        <f>F53*15%</f>
        <v>0</v>
      </c>
      <c r="I53" s="63">
        <f>(F53*16%)+(H53*16%)</f>
        <v>0</v>
      </c>
      <c r="J53" s="64">
        <f t="shared" si="30"/>
        <v>0</v>
      </c>
    </row>
    <row r="54" spans="1:10" s="41" customFormat="1" ht="35.25" customHeight="1">
      <c r="A54" s="428"/>
      <c r="B54" s="129" t="s">
        <v>85</v>
      </c>
      <c r="C54" s="10">
        <v>410</v>
      </c>
      <c r="D54" s="31">
        <v>0</v>
      </c>
      <c r="E54" s="10">
        <v>1</v>
      </c>
      <c r="F54" s="11">
        <f t="shared" ref="F54:F56" si="31">SUM(C54*D54*E54)</f>
        <v>0</v>
      </c>
      <c r="G54" s="31"/>
      <c r="H54" s="31">
        <f t="shared" ref="H54:H56" si="32">F54*15%</f>
        <v>0</v>
      </c>
      <c r="I54" s="31">
        <f t="shared" ref="I54:I56" si="33">(F54*16%)+(H54*16%)</f>
        <v>0</v>
      </c>
      <c r="J54" s="32">
        <f t="shared" ref="J54:J56" si="34">I54+H54+G54+F54</f>
        <v>0</v>
      </c>
    </row>
    <row r="55" spans="1:10" s="41" customFormat="1" ht="165" customHeight="1">
      <c r="A55" s="428"/>
      <c r="B55" s="132" t="s">
        <v>99</v>
      </c>
      <c r="C55" s="10">
        <v>410</v>
      </c>
      <c r="D55" s="31">
        <v>1100</v>
      </c>
      <c r="E55" s="10">
        <v>1</v>
      </c>
      <c r="F55" s="11">
        <f t="shared" si="31"/>
        <v>451000</v>
      </c>
      <c r="G55" s="31"/>
      <c r="H55" s="31">
        <f t="shared" si="32"/>
        <v>67650</v>
      </c>
      <c r="I55" s="31">
        <f t="shared" si="33"/>
        <v>82984</v>
      </c>
      <c r="J55" s="32">
        <f t="shared" si="34"/>
        <v>601634</v>
      </c>
    </row>
    <row r="56" spans="1:10" s="41" customFormat="1" ht="75" customHeight="1">
      <c r="A56" s="428"/>
      <c r="B56" s="42" t="s">
        <v>100</v>
      </c>
      <c r="C56" s="43">
        <v>410</v>
      </c>
      <c r="D56" s="63">
        <v>300</v>
      </c>
      <c r="E56" s="43">
        <v>0</v>
      </c>
      <c r="F56" s="44">
        <f t="shared" si="31"/>
        <v>0</v>
      </c>
      <c r="G56" s="63"/>
      <c r="H56" s="63">
        <f t="shared" si="32"/>
        <v>0</v>
      </c>
      <c r="I56" s="63">
        <f t="shared" si="33"/>
        <v>0</v>
      </c>
      <c r="J56" s="64">
        <f t="shared" si="34"/>
        <v>0</v>
      </c>
    </row>
    <row r="57" spans="1:10" s="41" customFormat="1">
      <c r="A57" s="93" t="s">
        <v>101</v>
      </c>
      <c r="B57" s="127" t="s">
        <v>93</v>
      </c>
      <c r="C57" s="94">
        <v>410</v>
      </c>
      <c r="D57" s="96">
        <v>0</v>
      </c>
      <c r="E57" s="94">
        <v>1</v>
      </c>
      <c r="F57" s="95">
        <f>SUM(C57*D57*E57)</f>
        <v>0</v>
      </c>
      <c r="G57" s="96"/>
      <c r="H57" s="96">
        <f>F57*15%</f>
        <v>0</v>
      </c>
      <c r="I57" s="96">
        <f>(F57*16%)+(H57*16%)</f>
        <v>0</v>
      </c>
      <c r="J57" s="97">
        <f>I57+H57+G57+F57</f>
        <v>0</v>
      </c>
    </row>
    <row r="58" spans="1:10">
      <c r="A58" s="18"/>
      <c r="B58" s="19" t="s">
        <v>78</v>
      </c>
      <c r="C58" s="20"/>
      <c r="D58" s="21"/>
      <c r="E58" s="20"/>
      <c r="F58" s="22">
        <f>SUM(F33:F57)</f>
        <v>1148000</v>
      </c>
      <c r="G58" s="22">
        <f>SUM(G33:G57)</f>
        <v>0</v>
      </c>
      <c r="H58" s="22">
        <f>SUM(H33:H57)</f>
        <v>172200</v>
      </c>
      <c r="I58" s="22">
        <f>SUM(I33:I57)</f>
        <v>211232</v>
      </c>
      <c r="J58" s="22">
        <f>SUM(J33:J57)</f>
        <v>1531432</v>
      </c>
    </row>
    <row r="59" spans="1:10">
      <c r="A59" s="23"/>
      <c r="B59" s="28" t="s">
        <v>102</v>
      </c>
      <c r="C59" s="82"/>
      <c r="D59" s="83"/>
      <c r="E59" s="82"/>
      <c r="F59" s="83">
        <f>F58</f>
        <v>1148000</v>
      </c>
      <c r="G59" s="83">
        <f t="shared" ref="G59:J59" si="35">G58</f>
        <v>0</v>
      </c>
      <c r="H59" s="83">
        <f t="shared" si="35"/>
        <v>172200</v>
      </c>
      <c r="I59" s="83">
        <f t="shared" si="35"/>
        <v>211232</v>
      </c>
      <c r="J59" s="83">
        <f t="shared" si="35"/>
        <v>1531432</v>
      </c>
    </row>
    <row r="60" spans="1:10">
      <c r="A60" s="18"/>
      <c r="B60" s="29"/>
      <c r="C60" s="20"/>
      <c r="D60" s="21"/>
      <c r="E60" s="20"/>
      <c r="F60" s="30"/>
      <c r="G60" s="30"/>
      <c r="H60" s="30"/>
      <c r="I60" s="30"/>
      <c r="J60" s="30"/>
    </row>
    <row r="61" spans="1:10">
      <c r="A61" s="18"/>
      <c r="B61" s="29"/>
      <c r="C61" s="20"/>
      <c r="D61" s="21"/>
      <c r="E61" s="20"/>
      <c r="F61" s="30"/>
      <c r="G61" s="30"/>
      <c r="H61" s="30"/>
      <c r="I61" s="30"/>
      <c r="J61" s="30"/>
    </row>
    <row r="62" spans="1:10">
      <c r="A62" s="431" t="s">
        <v>103</v>
      </c>
      <c r="B62" s="432"/>
      <c r="C62" s="7"/>
      <c r="D62" s="7"/>
      <c r="E62" s="7"/>
      <c r="F62" s="7"/>
      <c r="G62" s="7"/>
      <c r="H62" s="7"/>
      <c r="I62" s="7"/>
      <c r="J62" s="7"/>
    </row>
    <row r="63" spans="1:10">
      <c r="A63" s="84" t="s">
        <v>62</v>
      </c>
      <c r="B63" s="79" t="s">
        <v>13</v>
      </c>
      <c r="C63" s="80" t="s">
        <v>63</v>
      </c>
      <c r="D63" s="80" t="s">
        <v>64</v>
      </c>
      <c r="E63" s="80" t="s">
        <v>65</v>
      </c>
      <c r="F63" s="80" t="s">
        <v>66</v>
      </c>
      <c r="G63" s="80" t="s">
        <v>27</v>
      </c>
      <c r="H63" s="80" t="s">
        <v>68</v>
      </c>
      <c r="I63" s="80" t="s">
        <v>69</v>
      </c>
      <c r="J63" s="8" t="s">
        <v>70</v>
      </c>
    </row>
    <row r="64" spans="1:10">
      <c r="A64" s="427"/>
      <c r="B64" s="70" t="s">
        <v>104</v>
      </c>
      <c r="C64" s="72">
        <v>12</v>
      </c>
      <c r="D64" s="71">
        <v>2096</v>
      </c>
      <c r="E64" s="72">
        <v>1</v>
      </c>
      <c r="F64" s="71">
        <v>25152</v>
      </c>
      <c r="G64" s="71"/>
      <c r="H64" s="71">
        <v>1509.12</v>
      </c>
      <c r="I64" s="71">
        <v>4024.32</v>
      </c>
      <c r="J64" s="73">
        <v>30685.440000000002</v>
      </c>
    </row>
    <row r="65" spans="1:10">
      <c r="A65" s="428"/>
      <c r="B65" s="9" t="s">
        <v>105</v>
      </c>
      <c r="C65" s="10">
        <v>15</v>
      </c>
      <c r="D65" s="31">
        <v>3137</v>
      </c>
      <c r="E65" s="10">
        <v>1</v>
      </c>
      <c r="F65" s="31">
        <v>47055</v>
      </c>
      <c r="G65" s="31"/>
      <c r="H65" s="31">
        <v>2823.2999999999997</v>
      </c>
      <c r="I65" s="31">
        <v>7528.8</v>
      </c>
      <c r="J65" s="32">
        <v>57407.1</v>
      </c>
    </row>
    <row r="66" spans="1:10">
      <c r="A66" s="428"/>
      <c r="B66" s="9" t="s">
        <v>106</v>
      </c>
      <c r="C66" s="10">
        <v>1</v>
      </c>
      <c r="D66" s="31">
        <v>17205</v>
      </c>
      <c r="E66" s="10">
        <v>1</v>
      </c>
      <c r="F66" s="31">
        <v>17205</v>
      </c>
      <c r="G66" s="31"/>
      <c r="H66" s="31">
        <v>1032.3</v>
      </c>
      <c r="I66" s="31">
        <v>2752.8</v>
      </c>
      <c r="J66" s="32">
        <v>20990.1</v>
      </c>
    </row>
    <row r="67" spans="1:10">
      <c r="A67" s="428"/>
      <c r="B67" s="9" t="s">
        <v>107</v>
      </c>
      <c r="C67" s="10">
        <v>1</v>
      </c>
      <c r="D67" s="31">
        <v>18901</v>
      </c>
      <c r="E67" s="10">
        <v>1</v>
      </c>
      <c r="F67" s="31">
        <v>18901</v>
      </c>
      <c r="G67" s="31"/>
      <c r="H67" s="31">
        <v>1134.06</v>
      </c>
      <c r="I67" s="31">
        <v>3024.16</v>
      </c>
      <c r="J67" s="32">
        <v>23059.22</v>
      </c>
    </row>
    <row r="68" spans="1:10">
      <c r="A68" s="428"/>
      <c r="B68" s="42" t="s">
        <v>108</v>
      </c>
      <c r="C68" s="10">
        <v>1</v>
      </c>
      <c r="D68" s="63">
        <v>21011</v>
      </c>
      <c r="E68" s="10">
        <v>1</v>
      </c>
      <c r="F68" s="31">
        <v>21011</v>
      </c>
      <c r="G68" s="31"/>
      <c r="H68" s="31">
        <v>1260.6599999999999</v>
      </c>
      <c r="I68" s="31">
        <v>3361.76</v>
      </c>
      <c r="J68" s="32">
        <v>25633.42</v>
      </c>
    </row>
    <row r="69" spans="1:10">
      <c r="A69" s="428"/>
      <c r="B69" s="42" t="s">
        <v>109</v>
      </c>
      <c r="C69" s="10">
        <v>9</v>
      </c>
      <c r="D69" s="63">
        <v>2096</v>
      </c>
      <c r="E69" s="10">
        <v>1</v>
      </c>
      <c r="F69" s="31">
        <v>18864</v>
      </c>
      <c r="G69" s="31"/>
      <c r="H69" s="31">
        <v>1131.8399999999999</v>
      </c>
      <c r="I69" s="31">
        <v>3018.2400000000002</v>
      </c>
      <c r="J69" s="32">
        <v>23014.080000000002</v>
      </c>
    </row>
    <row r="70" spans="1:10">
      <c r="A70" s="429"/>
      <c r="B70" s="14" t="s">
        <v>110</v>
      </c>
      <c r="C70" s="15">
        <v>17</v>
      </c>
      <c r="D70" s="33">
        <v>3137</v>
      </c>
      <c r="E70" s="15">
        <v>1</v>
      </c>
      <c r="F70" s="33">
        <v>53329</v>
      </c>
      <c r="G70" s="33"/>
      <c r="H70" s="33">
        <v>3199.74</v>
      </c>
      <c r="I70" s="33">
        <v>8532.64</v>
      </c>
      <c r="J70" s="34">
        <v>65061.38</v>
      </c>
    </row>
    <row r="71" spans="1:10">
      <c r="A71" s="427"/>
      <c r="B71" s="77" t="s">
        <v>111</v>
      </c>
      <c r="C71" s="72">
        <v>1</v>
      </c>
      <c r="D71" s="71">
        <v>18901</v>
      </c>
      <c r="E71" s="72">
        <v>1</v>
      </c>
      <c r="F71" s="71">
        <v>18901</v>
      </c>
      <c r="G71" s="71"/>
      <c r="H71" s="71">
        <v>1134.06</v>
      </c>
      <c r="I71" s="71">
        <v>3024.16</v>
      </c>
      <c r="J71" s="73">
        <v>23059.22</v>
      </c>
    </row>
    <row r="72" spans="1:10">
      <c r="A72" s="429"/>
      <c r="B72" s="76" t="s">
        <v>112</v>
      </c>
      <c r="C72" s="57">
        <v>2</v>
      </c>
      <c r="D72" s="58">
        <v>21011</v>
      </c>
      <c r="E72" s="57">
        <v>1</v>
      </c>
      <c r="F72" s="58">
        <v>42022</v>
      </c>
      <c r="G72" s="58"/>
      <c r="H72" s="58">
        <v>2521.3199999999997</v>
      </c>
      <c r="I72" s="58">
        <v>6723.52</v>
      </c>
      <c r="J72" s="60">
        <v>51266.84</v>
      </c>
    </row>
    <row r="73" spans="1:10">
      <c r="A73" s="18"/>
      <c r="B73" s="19" t="s">
        <v>78</v>
      </c>
      <c r="C73" s="20"/>
      <c r="D73" s="21"/>
      <c r="E73" s="20"/>
      <c r="F73" s="27">
        <f>SUM(F64:F72)</f>
        <v>262440</v>
      </c>
      <c r="G73" s="27">
        <f t="shared" ref="G73:J73" si="36">SUM(G64:G72)</f>
        <v>0</v>
      </c>
      <c r="H73" s="27">
        <f t="shared" si="36"/>
        <v>15746.4</v>
      </c>
      <c r="I73" s="27">
        <f t="shared" si="36"/>
        <v>41990.400000000009</v>
      </c>
      <c r="J73" s="27">
        <f t="shared" si="36"/>
        <v>320176.80000000005</v>
      </c>
    </row>
    <row r="74" spans="1:10">
      <c r="A74" s="23"/>
      <c r="B74" s="28" t="s">
        <v>113</v>
      </c>
      <c r="C74" s="82"/>
      <c r="D74" s="83"/>
      <c r="E74" s="82"/>
      <c r="F74" s="83">
        <f>F73</f>
        <v>262440</v>
      </c>
      <c r="G74" s="83">
        <f t="shared" ref="G74:J74" si="37">G73</f>
        <v>0</v>
      </c>
      <c r="H74" s="83">
        <f t="shared" si="37"/>
        <v>15746.4</v>
      </c>
      <c r="I74" s="83">
        <f t="shared" si="37"/>
        <v>41990.400000000009</v>
      </c>
      <c r="J74" s="37">
        <f t="shared" si="37"/>
        <v>320176.80000000005</v>
      </c>
    </row>
    <row r="75" spans="1:10">
      <c r="A75" s="23"/>
      <c r="B75" s="29"/>
      <c r="C75" s="20"/>
      <c r="D75" s="30"/>
      <c r="E75" s="20"/>
      <c r="F75" s="30"/>
      <c r="G75" s="30"/>
      <c r="H75" s="30"/>
      <c r="I75" s="30"/>
      <c r="J75" s="30"/>
    </row>
    <row r="76" spans="1:10">
      <c r="A76" s="431" t="s">
        <v>114</v>
      </c>
      <c r="B76" s="432"/>
      <c r="C76" s="7"/>
      <c r="D76" s="7"/>
      <c r="E76" s="7"/>
      <c r="F76" s="7"/>
      <c r="G76" s="7"/>
      <c r="H76" s="7"/>
      <c r="I76" s="7"/>
      <c r="J76" s="7"/>
    </row>
    <row r="77" spans="1:10">
      <c r="A77" s="66" t="s">
        <v>62</v>
      </c>
      <c r="B77" s="67" t="s">
        <v>13</v>
      </c>
      <c r="C77" s="68" t="s">
        <v>63</v>
      </c>
      <c r="D77" s="68" t="s">
        <v>64</v>
      </c>
      <c r="E77" s="68" t="s">
        <v>65</v>
      </c>
      <c r="F77" s="68" t="s">
        <v>66</v>
      </c>
      <c r="G77" s="68" t="s">
        <v>27</v>
      </c>
      <c r="H77" s="68" t="s">
        <v>68</v>
      </c>
      <c r="I77" s="68" t="s">
        <v>69</v>
      </c>
      <c r="J77" s="69" t="s">
        <v>70</v>
      </c>
    </row>
    <row r="78" spans="1:10" s="41" customFormat="1">
      <c r="A78" s="50"/>
      <c r="B78" s="42"/>
      <c r="C78" s="43"/>
      <c r="D78" s="63"/>
      <c r="E78" s="43"/>
      <c r="F78" s="63"/>
      <c r="G78" s="63"/>
      <c r="H78" s="63"/>
      <c r="I78" s="63"/>
      <c r="J78" s="64"/>
    </row>
    <row r="79" spans="1:10" s="41" customFormat="1">
      <c r="A79" s="13"/>
      <c r="B79" s="14"/>
      <c r="C79" s="15"/>
      <c r="D79" s="33"/>
      <c r="E79" s="15"/>
      <c r="F79" s="33">
        <f t="shared" ref="F79" si="38">E79+D79+C79</f>
        <v>0</v>
      </c>
      <c r="G79" s="33"/>
      <c r="H79" s="33"/>
      <c r="I79" s="33">
        <f t="shared" ref="I79" si="39">F79*16%</f>
        <v>0</v>
      </c>
      <c r="J79" s="34">
        <f t="shared" ref="J79" si="40">I79+H79+G79+F79</f>
        <v>0</v>
      </c>
    </row>
    <row r="80" spans="1:10">
      <c r="A80" s="18"/>
      <c r="B80" s="19" t="s">
        <v>78</v>
      </c>
      <c r="C80" s="20"/>
      <c r="D80" s="21"/>
      <c r="E80" s="20"/>
      <c r="F80" s="22">
        <f>SUM(F78:F79)</f>
        <v>0</v>
      </c>
      <c r="G80" s="22">
        <f>SUM(G78:G79)</f>
        <v>0</v>
      </c>
      <c r="H80" s="22">
        <f>SUM(H78:H79)</f>
        <v>0</v>
      </c>
      <c r="I80" s="22">
        <f>SUM(I78:I79)</f>
        <v>0</v>
      </c>
      <c r="J80" s="22">
        <f>SUM(J78:J79)</f>
        <v>0</v>
      </c>
    </row>
    <row r="81" spans="1:14">
      <c r="A81" s="23"/>
      <c r="B81" s="28" t="s">
        <v>115</v>
      </c>
      <c r="C81" s="82"/>
      <c r="D81" s="83"/>
      <c r="E81" s="82"/>
      <c r="F81" s="83">
        <f>SUM(F80)</f>
        <v>0</v>
      </c>
      <c r="G81" s="83">
        <f t="shared" ref="G81:J81" si="41">SUM(G80)</f>
        <v>0</v>
      </c>
      <c r="H81" s="83">
        <f t="shared" si="41"/>
        <v>0</v>
      </c>
      <c r="I81" s="83">
        <f t="shared" si="41"/>
        <v>0</v>
      </c>
      <c r="J81" s="83">
        <f t="shared" si="41"/>
        <v>0</v>
      </c>
    </row>
    <row r="82" spans="1:14">
      <c r="A82" s="23"/>
      <c r="B82" s="29"/>
      <c r="C82" s="20"/>
      <c r="D82" s="30"/>
      <c r="E82" s="20"/>
      <c r="F82" s="30"/>
      <c r="G82" s="30"/>
      <c r="H82" s="30"/>
      <c r="I82" s="30"/>
      <c r="J82" s="30"/>
      <c r="N82" t="s">
        <v>116</v>
      </c>
    </row>
    <row r="83" spans="1:14">
      <c r="A83" s="431" t="s">
        <v>117</v>
      </c>
      <c r="B83" s="432"/>
      <c r="C83" s="7"/>
      <c r="D83" s="7"/>
      <c r="E83" s="7"/>
      <c r="F83" s="7"/>
      <c r="G83" s="7"/>
      <c r="H83" s="7"/>
      <c r="I83" s="7"/>
      <c r="J83" s="7"/>
    </row>
    <row r="84" spans="1:14">
      <c r="A84" s="78" t="s">
        <v>62</v>
      </c>
      <c r="B84" s="79" t="s">
        <v>13</v>
      </c>
      <c r="C84" s="80" t="s">
        <v>63</v>
      </c>
      <c r="D84" s="80" t="s">
        <v>64</v>
      </c>
      <c r="E84" s="80" t="s">
        <v>65</v>
      </c>
      <c r="F84" s="80" t="s">
        <v>66</v>
      </c>
      <c r="G84" s="80" t="s">
        <v>27</v>
      </c>
      <c r="H84" s="80" t="s">
        <v>68</v>
      </c>
      <c r="I84" s="80" t="s">
        <v>69</v>
      </c>
      <c r="J84" s="8" t="s">
        <v>70</v>
      </c>
      <c r="N84" t="s">
        <v>116</v>
      </c>
    </row>
    <row r="85" spans="1:14" s="41" customFormat="1" ht="24.75">
      <c r="A85" s="427" t="s">
        <v>74</v>
      </c>
      <c r="B85" s="70" t="s">
        <v>118</v>
      </c>
      <c r="C85" s="72">
        <v>410</v>
      </c>
      <c r="D85" s="74">
        <v>100</v>
      </c>
      <c r="E85" s="72">
        <v>0</v>
      </c>
      <c r="F85" s="71">
        <f t="shared" ref="F85:F99" si="42">SUM(C85*D85*E85)</f>
        <v>0</v>
      </c>
      <c r="G85" s="71"/>
      <c r="H85" s="71"/>
      <c r="I85" s="71">
        <f>F85*16%</f>
        <v>0</v>
      </c>
      <c r="J85" s="73">
        <f>I85+H85+G85+F85</f>
        <v>0</v>
      </c>
    </row>
    <row r="86" spans="1:14" s="41" customFormat="1" ht="84.75" customHeight="1">
      <c r="A86" s="428"/>
      <c r="B86" s="132" t="s">
        <v>119</v>
      </c>
      <c r="C86" s="10">
        <v>1</v>
      </c>
      <c r="D86" s="31">
        <v>20000</v>
      </c>
      <c r="E86" s="10">
        <v>0</v>
      </c>
      <c r="F86" s="31">
        <f>SUM(C86*D86*E86)</f>
        <v>0</v>
      </c>
      <c r="G86" s="31"/>
      <c r="H86" s="31"/>
      <c r="I86" s="31">
        <f>F86*16%</f>
        <v>0</v>
      </c>
      <c r="J86" s="32">
        <f>I86+H86+G86+F86</f>
        <v>0</v>
      </c>
    </row>
    <row r="87" spans="1:14" s="41" customFormat="1" ht="36.75">
      <c r="A87" s="428"/>
      <c r="B87" s="132" t="s">
        <v>120</v>
      </c>
      <c r="C87" s="10">
        <v>1</v>
      </c>
      <c r="D87" s="31">
        <v>6000</v>
      </c>
      <c r="E87" s="10">
        <v>0</v>
      </c>
      <c r="F87" s="31">
        <f>SUM(C87*D87*E87)</f>
        <v>0</v>
      </c>
      <c r="G87" s="31"/>
      <c r="H87" s="31"/>
      <c r="I87" s="31">
        <f>F87*16%</f>
        <v>0</v>
      </c>
      <c r="J87" s="32">
        <f>I87+H87+G87+F87</f>
        <v>0</v>
      </c>
    </row>
    <row r="88" spans="1:14" s="41" customFormat="1" ht="70.5" customHeight="1">
      <c r="A88" s="428"/>
      <c r="B88" s="132" t="s">
        <v>121</v>
      </c>
      <c r="C88" s="10">
        <v>1</v>
      </c>
      <c r="D88" s="31">
        <v>20000</v>
      </c>
      <c r="E88" s="10">
        <v>0</v>
      </c>
      <c r="F88" s="31">
        <f t="shared" si="42"/>
        <v>0</v>
      </c>
      <c r="G88" s="31"/>
      <c r="H88" s="31"/>
      <c r="I88" s="31">
        <f t="shared" ref="I88:I99" si="43">F88*16%</f>
        <v>0</v>
      </c>
      <c r="J88" s="32">
        <f t="shared" ref="J88:J99" si="44">I88+H88+G88+F88</f>
        <v>0</v>
      </c>
    </row>
    <row r="89" spans="1:14" s="41" customFormat="1" ht="49.5">
      <c r="A89" s="428"/>
      <c r="B89" s="9" t="s">
        <v>122</v>
      </c>
      <c r="C89" s="10">
        <v>1</v>
      </c>
      <c r="D89" s="31">
        <v>20000</v>
      </c>
      <c r="E89" s="10">
        <v>0</v>
      </c>
      <c r="F89" s="31">
        <f t="shared" si="42"/>
        <v>0</v>
      </c>
      <c r="G89" s="31"/>
      <c r="H89" s="31"/>
      <c r="I89" s="31">
        <f t="shared" si="43"/>
        <v>0</v>
      </c>
      <c r="J89" s="32">
        <f t="shared" si="44"/>
        <v>0</v>
      </c>
    </row>
    <row r="90" spans="1:14" s="41" customFormat="1" ht="64.5" customHeight="1">
      <c r="A90" s="429"/>
      <c r="B90" s="42" t="s">
        <v>123</v>
      </c>
      <c r="C90" s="43">
        <v>1</v>
      </c>
      <c r="D90" s="31">
        <v>20000</v>
      </c>
      <c r="E90" s="43">
        <v>0</v>
      </c>
      <c r="F90" s="63">
        <f t="shared" si="42"/>
        <v>0</v>
      </c>
      <c r="G90" s="63"/>
      <c r="H90" s="63"/>
      <c r="I90" s="63">
        <f t="shared" si="43"/>
        <v>0</v>
      </c>
      <c r="J90" s="64">
        <f t="shared" si="44"/>
        <v>0</v>
      </c>
    </row>
    <row r="91" spans="1:14" s="41" customFormat="1" ht="44.25" customHeight="1">
      <c r="A91" s="93" t="s">
        <v>71</v>
      </c>
      <c r="B91" s="127" t="s">
        <v>124</v>
      </c>
      <c r="C91" s="94">
        <v>1</v>
      </c>
      <c r="D91" s="95">
        <v>0</v>
      </c>
      <c r="E91" s="94">
        <v>1</v>
      </c>
      <c r="F91" s="96">
        <f t="shared" si="42"/>
        <v>0</v>
      </c>
      <c r="G91" s="96"/>
      <c r="H91" s="96"/>
      <c r="I91" s="96">
        <f t="shared" si="43"/>
        <v>0</v>
      </c>
      <c r="J91" s="97">
        <f t="shared" si="44"/>
        <v>0</v>
      </c>
    </row>
    <row r="92" spans="1:14" s="41" customFormat="1" ht="32.25" customHeight="1">
      <c r="A92" s="75" t="s">
        <v>125</v>
      </c>
      <c r="B92" s="126" t="s">
        <v>126</v>
      </c>
      <c r="C92" s="57">
        <v>1</v>
      </c>
      <c r="D92" s="253">
        <v>0</v>
      </c>
      <c r="E92" s="254">
        <v>1</v>
      </c>
      <c r="F92" s="255">
        <f t="shared" si="42"/>
        <v>0</v>
      </c>
      <c r="G92" s="58"/>
      <c r="H92" s="58"/>
      <c r="I92" s="58">
        <f t="shared" si="43"/>
        <v>0</v>
      </c>
      <c r="J92" s="60">
        <f t="shared" si="44"/>
        <v>0</v>
      </c>
    </row>
    <row r="93" spans="1:14" s="41" customFormat="1" ht="36.75">
      <c r="A93" s="433" t="s">
        <v>127</v>
      </c>
      <c r="B93" s="128" t="s">
        <v>128</v>
      </c>
      <c r="C93" s="249">
        <v>1</v>
      </c>
      <c r="D93" s="256">
        <f>1500*20</f>
        <v>30000</v>
      </c>
      <c r="E93" s="257">
        <v>3</v>
      </c>
      <c r="F93" s="258">
        <f t="shared" si="42"/>
        <v>90000</v>
      </c>
      <c r="G93" s="251"/>
      <c r="H93" s="71"/>
      <c r="I93" s="71">
        <f t="shared" si="43"/>
        <v>14400</v>
      </c>
      <c r="J93" s="73">
        <f t="shared" si="44"/>
        <v>104400</v>
      </c>
    </row>
    <row r="94" spans="1:14" s="41" customFormat="1" ht="36.75">
      <c r="A94" s="428"/>
      <c r="B94" s="129" t="s">
        <v>129</v>
      </c>
      <c r="C94" s="250">
        <v>1</v>
      </c>
      <c r="D94" s="139">
        <f t="shared" ref="D94:D98" si="45">1500*20</f>
        <v>30000</v>
      </c>
      <c r="E94" s="138">
        <v>3</v>
      </c>
      <c r="F94" s="140">
        <f t="shared" ref="F94:F98" si="46">SUM(C94*D94*E94)</f>
        <v>90000</v>
      </c>
      <c r="G94" s="252"/>
      <c r="H94" s="31"/>
      <c r="I94" s="31">
        <f t="shared" si="43"/>
        <v>14400</v>
      </c>
      <c r="J94" s="32">
        <f t="shared" si="44"/>
        <v>104400</v>
      </c>
    </row>
    <row r="95" spans="1:14" s="41" customFormat="1" ht="41.25" customHeight="1">
      <c r="A95" s="428"/>
      <c r="B95" s="129" t="s">
        <v>130</v>
      </c>
      <c r="C95" s="250">
        <v>1</v>
      </c>
      <c r="D95" s="139">
        <f t="shared" si="45"/>
        <v>30000</v>
      </c>
      <c r="E95" s="138">
        <v>3</v>
      </c>
      <c r="F95" s="140">
        <f t="shared" si="46"/>
        <v>90000</v>
      </c>
      <c r="G95" s="252"/>
      <c r="H95" s="31"/>
      <c r="I95" s="31">
        <f t="shared" si="43"/>
        <v>14400</v>
      </c>
      <c r="J95" s="32">
        <f t="shared" si="44"/>
        <v>104400</v>
      </c>
    </row>
    <row r="96" spans="1:14" s="41" customFormat="1" ht="41.25" customHeight="1">
      <c r="A96" s="428"/>
      <c r="B96" s="129" t="s">
        <v>131</v>
      </c>
      <c r="C96" s="250">
        <v>1</v>
      </c>
      <c r="D96" s="139">
        <f t="shared" si="45"/>
        <v>30000</v>
      </c>
      <c r="E96" s="138">
        <v>3</v>
      </c>
      <c r="F96" s="140">
        <f t="shared" si="46"/>
        <v>90000</v>
      </c>
      <c r="G96" s="252"/>
      <c r="H96" s="31"/>
      <c r="I96" s="31">
        <f t="shared" si="43"/>
        <v>14400</v>
      </c>
      <c r="J96" s="32">
        <f t="shared" si="44"/>
        <v>104400</v>
      </c>
    </row>
    <row r="97" spans="1:10" s="41" customFormat="1" ht="41.25" customHeight="1">
      <c r="A97" s="428"/>
      <c r="B97" s="129" t="s">
        <v>132</v>
      </c>
      <c r="C97" s="250">
        <v>1</v>
      </c>
      <c r="D97" s="139">
        <f>6000*20</f>
        <v>120000</v>
      </c>
      <c r="E97" s="138">
        <v>3</v>
      </c>
      <c r="F97" s="140">
        <f t="shared" si="46"/>
        <v>360000</v>
      </c>
      <c r="G97" s="252"/>
      <c r="H97" s="31"/>
      <c r="I97" s="31">
        <f t="shared" si="43"/>
        <v>57600</v>
      </c>
      <c r="J97" s="32">
        <f t="shared" si="44"/>
        <v>417600</v>
      </c>
    </row>
    <row r="98" spans="1:10" s="41" customFormat="1" ht="36.75">
      <c r="A98" s="428"/>
      <c r="B98" s="129" t="s">
        <v>133</v>
      </c>
      <c r="C98" s="10">
        <v>1</v>
      </c>
      <c r="D98" s="48">
        <f t="shared" si="45"/>
        <v>30000</v>
      </c>
      <c r="E98" s="47">
        <v>3</v>
      </c>
      <c r="F98" s="61">
        <f t="shared" si="46"/>
        <v>90000</v>
      </c>
      <c r="G98" s="31"/>
      <c r="H98" s="31"/>
      <c r="I98" s="31">
        <f t="shared" si="43"/>
        <v>14400</v>
      </c>
      <c r="J98" s="32">
        <f t="shared" si="44"/>
        <v>104400</v>
      </c>
    </row>
    <row r="99" spans="1:10" s="41" customFormat="1" ht="36.75">
      <c r="A99" s="429"/>
      <c r="B99" s="14" t="s">
        <v>134</v>
      </c>
      <c r="C99" s="15">
        <v>1</v>
      </c>
      <c r="D99" s="16">
        <f>1500*20</f>
        <v>30000</v>
      </c>
      <c r="E99" s="15">
        <v>3</v>
      </c>
      <c r="F99" s="33">
        <f t="shared" si="42"/>
        <v>90000</v>
      </c>
      <c r="G99" s="33"/>
      <c r="H99" s="33"/>
      <c r="I99" s="33">
        <f t="shared" si="43"/>
        <v>14400</v>
      </c>
      <c r="J99" s="34">
        <f t="shared" si="44"/>
        <v>104400</v>
      </c>
    </row>
    <row r="100" spans="1:10">
      <c r="A100" s="18"/>
      <c r="B100" s="19" t="s">
        <v>78</v>
      </c>
      <c r="C100" s="20"/>
      <c r="D100" s="21"/>
      <c r="E100" s="20"/>
      <c r="F100" s="38">
        <f>SUM(F85:F99)</f>
        <v>900000</v>
      </c>
      <c r="G100" s="38">
        <f>SUM(G85:G99)</f>
        <v>0</v>
      </c>
      <c r="H100" s="38">
        <f>SUM(H85:H99)</f>
        <v>0</v>
      </c>
      <c r="I100" s="38">
        <f>SUM(I85:I99)</f>
        <v>144000</v>
      </c>
      <c r="J100" s="38">
        <f>SUM(J85:J99)</f>
        <v>1044000</v>
      </c>
    </row>
    <row r="101" spans="1:10">
      <c r="A101" s="23"/>
      <c r="B101" s="28" t="s">
        <v>135</v>
      </c>
      <c r="C101" s="82"/>
      <c r="D101" s="83"/>
      <c r="E101" s="82"/>
      <c r="F101" s="83">
        <f>F100</f>
        <v>900000</v>
      </c>
      <c r="G101" s="83">
        <f>G100</f>
        <v>0</v>
      </c>
      <c r="H101" s="83">
        <f>H100</f>
        <v>0</v>
      </c>
      <c r="I101" s="83">
        <f>I100</f>
        <v>144000</v>
      </c>
      <c r="J101" s="37">
        <f>J100</f>
        <v>1044000</v>
      </c>
    </row>
    <row r="102" spans="1:10">
      <c r="A102" s="23"/>
      <c r="B102" s="29"/>
      <c r="C102" s="20"/>
      <c r="D102" s="30"/>
      <c r="E102" s="20"/>
      <c r="F102" s="30"/>
      <c r="G102" s="30"/>
      <c r="H102" s="30"/>
      <c r="I102" s="30"/>
      <c r="J102" s="30"/>
    </row>
    <row r="103" spans="1:10">
      <c r="A103" s="431" t="s">
        <v>136</v>
      </c>
      <c r="B103" s="432"/>
      <c r="C103" s="7"/>
      <c r="D103" s="7"/>
      <c r="E103" s="7"/>
      <c r="F103" s="7"/>
      <c r="G103" s="7"/>
      <c r="H103" s="7"/>
      <c r="I103" s="7"/>
      <c r="J103" s="7"/>
    </row>
    <row r="104" spans="1:10">
      <c r="A104" s="78" t="s">
        <v>62</v>
      </c>
      <c r="B104" s="79" t="s">
        <v>13</v>
      </c>
      <c r="C104" s="80" t="s">
        <v>63</v>
      </c>
      <c r="D104" s="80" t="s">
        <v>64</v>
      </c>
      <c r="E104" s="80" t="s">
        <v>65</v>
      </c>
      <c r="F104" s="80" t="s">
        <v>66</v>
      </c>
      <c r="G104" s="80" t="s">
        <v>27</v>
      </c>
      <c r="H104" s="80" t="s">
        <v>68</v>
      </c>
      <c r="I104" s="80" t="s">
        <v>69</v>
      </c>
      <c r="J104" s="8" t="s">
        <v>70</v>
      </c>
    </row>
    <row r="105" spans="1:10" s="41" customFormat="1" ht="24.75">
      <c r="A105" s="434" t="s">
        <v>137</v>
      </c>
      <c r="B105" s="70" t="s">
        <v>138</v>
      </c>
      <c r="C105" s="72">
        <v>8</v>
      </c>
      <c r="D105" s="74">
        <v>4292.3999999999996</v>
      </c>
      <c r="E105" s="72">
        <v>5</v>
      </c>
      <c r="F105" s="74">
        <f>SUM(C105*D105*E105)</f>
        <v>171696</v>
      </c>
      <c r="G105" s="74">
        <f>106.6*C105*E105</f>
        <v>4264</v>
      </c>
      <c r="H105" s="74">
        <f>214.2*C105*E105</f>
        <v>8568</v>
      </c>
      <c r="I105" s="74">
        <f>686.8*C105*E105</f>
        <v>27472</v>
      </c>
      <c r="J105" s="81">
        <f t="shared" ref="J105:J106" si="47">I105+H105+G105+F105</f>
        <v>212000</v>
      </c>
    </row>
    <row r="106" spans="1:10" s="41" customFormat="1">
      <c r="A106" s="435"/>
      <c r="B106" s="14" t="s">
        <v>73</v>
      </c>
      <c r="C106" s="15">
        <v>8</v>
      </c>
      <c r="D106" s="44">
        <v>70</v>
      </c>
      <c r="E106" s="43">
        <v>5</v>
      </c>
      <c r="F106" s="44"/>
      <c r="G106" s="44"/>
      <c r="H106" s="44">
        <f>E106*D106*C106</f>
        <v>2800</v>
      </c>
      <c r="I106" s="44">
        <v>0</v>
      </c>
      <c r="J106" s="45">
        <f t="shared" si="47"/>
        <v>2800</v>
      </c>
    </row>
    <row r="107" spans="1:10" s="41" customFormat="1" ht="24.75">
      <c r="A107" s="435"/>
      <c r="B107" s="70" t="s">
        <v>139</v>
      </c>
      <c r="C107" s="72">
        <v>2</v>
      </c>
      <c r="D107" s="74">
        <v>4292.3999999999996</v>
      </c>
      <c r="E107" s="72">
        <v>5</v>
      </c>
      <c r="F107" s="74">
        <f>SUM(C107*D107*E107)</f>
        <v>42924</v>
      </c>
      <c r="G107" s="74">
        <f>106.6*C107*E107</f>
        <v>1066</v>
      </c>
      <c r="H107" s="74">
        <f>214.2*C107*E107</f>
        <v>2142</v>
      </c>
      <c r="I107" s="74">
        <f>686.8*C107*E107</f>
        <v>6868</v>
      </c>
      <c r="J107" s="81">
        <f t="shared" ref="J107:J108" si="48">I107+H107+G107+F107</f>
        <v>53000</v>
      </c>
    </row>
    <row r="108" spans="1:10" s="41" customFormat="1">
      <c r="A108" s="435"/>
      <c r="B108" s="14" t="s">
        <v>73</v>
      </c>
      <c r="C108" s="15">
        <v>2</v>
      </c>
      <c r="D108" s="44">
        <v>70</v>
      </c>
      <c r="E108" s="43">
        <v>5</v>
      </c>
      <c r="F108" s="44"/>
      <c r="G108" s="44"/>
      <c r="H108" s="44">
        <f>E108*D108*C108</f>
        <v>700</v>
      </c>
      <c r="I108" s="44">
        <v>0</v>
      </c>
      <c r="J108" s="45">
        <f t="shared" si="48"/>
        <v>700</v>
      </c>
    </row>
    <row r="109" spans="1:10" s="41" customFormat="1">
      <c r="A109" s="435"/>
      <c r="B109" s="528" t="s">
        <v>140</v>
      </c>
      <c r="C109" s="529">
        <v>10</v>
      </c>
      <c r="D109" s="530">
        <v>6046</v>
      </c>
      <c r="E109" s="529">
        <v>1</v>
      </c>
      <c r="F109" s="530">
        <f>SUM(C109*D109*E109)</f>
        <v>60460</v>
      </c>
      <c r="G109" s="530">
        <v>0</v>
      </c>
      <c r="H109" s="530">
        <f>2355*C109</f>
        <v>23550</v>
      </c>
      <c r="I109" s="530">
        <f>968*C109</f>
        <v>9680</v>
      </c>
      <c r="J109" s="530">
        <f>I109+H109+G109+F109</f>
        <v>93690</v>
      </c>
    </row>
    <row r="110" spans="1:10" s="41" customFormat="1">
      <c r="A110" s="437"/>
      <c r="B110" s="528" t="s">
        <v>141</v>
      </c>
      <c r="C110" s="529">
        <v>10</v>
      </c>
      <c r="D110" s="530">
        <v>230</v>
      </c>
      <c r="E110" s="529">
        <v>1</v>
      </c>
      <c r="F110" s="530">
        <f>C110*D110*E110</f>
        <v>2300</v>
      </c>
      <c r="G110" s="530"/>
      <c r="H110" s="530"/>
      <c r="I110" s="530">
        <f>F110*16%</f>
        <v>368</v>
      </c>
      <c r="J110" s="530">
        <f>SUM(F110:I110)</f>
        <v>2668</v>
      </c>
    </row>
    <row r="111" spans="1:10" s="41" customFormat="1" ht="19.899999999999999" customHeight="1">
      <c r="A111" s="436"/>
      <c r="B111" s="14" t="s">
        <v>142</v>
      </c>
      <c r="C111" s="15">
        <v>10</v>
      </c>
      <c r="D111" s="16">
        <v>1500</v>
      </c>
      <c r="E111" s="15">
        <v>5</v>
      </c>
      <c r="F111" s="16">
        <f t="shared" ref="F109:F111" si="49">SUM(C111*D111*E111)</f>
        <v>75000</v>
      </c>
      <c r="G111" s="16">
        <v>0</v>
      </c>
      <c r="H111" s="16">
        <v>0</v>
      </c>
      <c r="I111" s="16">
        <f t="shared" ref="I109:I111" si="50">(F111*16%)+(G111*16%)+(H111*16%)</f>
        <v>12000</v>
      </c>
      <c r="J111" s="17">
        <f t="shared" ref="J109:J111" si="51">I111+H111+G111+F111</f>
        <v>87000</v>
      </c>
    </row>
    <row r="112" spans="1:10">
      <c r="A112" s="18"/>
      <c r="B112" s="19" t="s">
        <v>78</v>
      </c>
      <c r="C112" s="35"/>
      <c r="D112" s="36"/>
      <c r="E112" s="35"/>
      <c r="F112" s="65">
        <f>SUM(F105:F111)</f>
        <v>352380</v>
      </c>
      <c r="G112" s="65">
        <f>SUM(G105:G111)</f>
        <v>5330</v>
      </c>
      <c r="H112" s="65">
        <f t="shared" ref="H112:J112" si="52">SUM(H105:H111)</f>
        <v>37760</v>
      </c>
      <c r="I112" s="65">
        <f t="shared" si="52"/>
        <v>56388</v>
      </c>
      <c r="J112" s="65">
        <f t="shared" si="52"/>
        <v>451858</v>
      </c>
    </row>
    <row r="113" spans="1:10" ht="25.5">
      <c r="A113" s="23"/>
      <c r="B113" s="28" t="s">
        <v>143</v>
      </c>
      <c r="C113" s="82"/>
      <c r="D113" s="83"/>
      <c r="E113" s="82"/>
      <c r="F113" s="83">
        <f>F112</f>
        <v>352380</v>
      </c>
      <c r="G113" s="83">
        <f>G112</f>
        <v>5330</v>
      </c>
      <c r="H113" s="83">
        <f>H112</f>
        <v>37760</v>
      </c>
      <c r="I113" s="83">
        <f>I112</f>
        <v>56388</v>
      </c>
      <c r="J113" s="83">
        <f>J112</f>
        <v>451858</v>
      </c>
    </row>
    <row r="114" spans="1:10">
      <c r="A114" s="23"/>
      <c r="B114" s="24"/>
      <c r="C114" s="25"/>
      <c r="D114" s="26"/>
      <c r="E114" s="25"/>
      <c r="F114" s="26"/>
      <c r="G114" s="26"/>
      <c r="H114" s="26"/>
      <c r="I114" s="26"/>
      <c r="J114" s="26"/>
    </row>
    <row r="115" spans="1:10" ht="22.5">
      <c r="A115" s="430" t="s">
        <v>1</v>
      </c>
      <c r="B115" s="430"/>
      <c r="C115" s="430"/>
      <c r="D115" s="430"/>
      <c r="E115" s="430"/>
      <c r="F115" s="26"/>
      <c r="G115" s="26"/>
      <c r="H115" s="26"/>
      <c r="I115" s="26"/>
      <c r="J115" s="26"/>
    </row>
    <row r="116" spans="1:10">
      <c r="A116" s="39"/>
      <c r="B116" s="85"/>
      <c r="C116" s="82"/>
      <c r="D116" s="83"/>
      <c r="E116" s="86" t="s">
        <v>144</v>
      </c>
      <c r="F116" s="83">
        <f>F28</f>
        <v>5522393.7999999989</v>
      </c>
      <c r="G116" s="83">
        <f>G28</f>
        <v>135989.6</v>
      </c>
      <c r="H116" s="83">
        <f>H28</f>
        <v>346730.8</v>
      </c>
      <c r="I116" s="83">
        <f>I28</f>
        <v>947290.27199999976</v>
      </c>
      <c r="J116" s="83">
        <f>SUM(F116:I116)</f>
        <v>6952404.4719999982</v>
      </c>
    </row>
    <row r="117" spans="1:10">
      <c r="A117" s="39"/>
      <c r="B117" s="85"/>
      <c r="C117" s="82"/>
      <c r="D117" s="83"/>
      <c r="E117" s="86" t="s">
        <v>145</v>
      </c>
      <c r="F117" s="83">
        <f>F59</f>
        <v>1148000</v>
      </c>
      <c r="G117" s="83">
        <f>G59</f>
        <v>0</v>
      </c>
      <c r="H117" s="83">
        <f>H59</f>
        <v>172200</v>
      </c>
      <c r="I117" s="83">
        <f>I59</f>
        <v>211232</v>
      </c>
      <c r="J117" s="83">
        <f>SUM(F117:I117)</f>
        <v>1531432</v>
      </c>
    </row>
    <row r="118" spans="1:10">
      <c r="A118" s="39"/>
      <c r="B118" s="85"/>
      <c r="C118" s="82"/>
      <c r="D118" s="83"/>
      <c r="E118" s="86" t="s">
        <v>146</v>
      </c>
      <c r="F118" s="83">
        <f>F74</f>
        <v>262440</v>
      </c>
      <c r="G118" s="83">
        <f>G74</f>
        <v>0</v>
      </c>
      <c r="H118" s="83">
        <f>H74</f>
        <v>15746.4</v>
      </c>
      <c r="I118" s="83">
        <f>I74</f>
        <v>41990.400000000009</v>
      </c>
      <c r="J118" s="83">
        <f>SUM(F118:I118)</f>
        <v>320176.80000000005</v>
      </c>
    </row>
    <row r="119" spans="1:10">
      <c r="A119" s="39"/>
      <c r="B119" s="85"/>
      <c r="C119" s="82"/>
      <c r="D119" s="83"/>
      <c r="E119" s="86" t="str">
        <f>A76</f>
        <v>TELEMARKETING</v>
      </c>
      <c r="F119" s="83">
        <f>F81</f>
        <v>0</v>
      </c>
      <c r="G119" s="83">
        <f>G81</f>
        <v>0</v>
      </c>
      <c r="H119" s="83">
        <f>H81</f>
        <v>0</v>
      </c>
      <c r="I119" s="83">
        <f>I81</f>
        <v>0</v>
      </c>
      <c r="J119" s="83">
        <f>SUM(F119:I119)</f>
        <v>0</v>
      </c>
    </row>
    <row r="120" spans="1:10">
      <c r="A120" s="39"/>
      <c r="B120" s="85"/>
      <c r="C120" s="82"/>
      <c r="D120" s="83"/>
      <c r="E120" s="86" t="s">
        <v>30</v>
      </c>
      <c r="F120" s="83">
        <f>F101</f>
        <v>900000</v>
      </c>
      <c r="G120" s="83">
        <f>G101</f>
        <v>0</v>
      </c>
      <c r="H120" s="83">
        <f>H101</f>
        <v>0</v>
      </c>
      <c r="I120" s="83">
        <f>I101</f>
        <v>144000</v>
      </c>
      <c r="J120" s="83">
        <f>SUM(F120:I120)</f>
        <v>1044000</v>
      </c>
    </row>
    <row r="121" spans="1:10">
      <c r="A121" s="40"/>
      <c r="B121" s="87"/>
      <c r="C121" s="88"/>
      <c r="D121" s="89"/>
      <c r="E121" s="90" t="s">
        <v>147</v>
      </c>
      <c r="F121" s="89">
        <f>SUM(F116:F120)</f>
        <v>7832833.7999999989</v>
      </c>
      <c r="G121" s="89">
        <f t="shared" ref="G121:I121" si="53">SUM(G116:G120)</f>
        <v>135989.6</v>
      </c>
      <c r="H121" s="89">
        <f t="shared" si="53"/>
        <v>534677.19999999995</v>
      </c>
      <c r="I121" s="89">
        <f t="shared" si="53"/>
        <v>1344512.6719999998</v>
      </c>
      <c r="J121" s="89">
        <f>SUM(J116:J120)</f>
        <v>9848013.2719999999</v>
      </c>
    </row>
    <row r="122" spans="1:10">
      <c r="A122" s="39"/>
      <c r="B122" s="85"/>
      <c r="C122" s="82"/>
      <c r="D122" s="83"/>
      <c r="E122" s="86" t="s">
        <v>148</v>
      </c>
      <c r="F122" s="83">
        <f>(F116+F117+F118+F119+F120)*6%</f>
        <v>469970.02799999993</v>
      </c>
      <c r="G122" s="83"/>
      <c r="H122" s="83"/>
      <c r="I122" s="83">
        <f>F122*16%</f>
        <v>75195.204479999986</v>
      </c>
      <c r="J122" s="83">
        <f>SUM(F122:I122)</f>
        <v>545165.23247999989</v>
      </c>
    </row>
    <row r="123" spans="1:10">
      <c r="A123" s="39"/>
      <c r="B123" s="85"/>
      <c r="C123" s="82"/>
      <c r="D123" s="83"/>
      <c r="E123" s="86" t="s">
        <v>149</v>
      </c>
      <c r="F123" s="83">
        <f>F113</f>
        <v>352380</v>
      </c>
      <c r="G123" s="83">
        <f>G113</f>
        <v>5330</v>
      </c>
      <c r="H123" s="83">
        <f>H113</f>
        <v>37760</v>
      </c>
      <c r="I123" s="83">
        <f>I113</f>
        <v>56388</v>
      </c>
      <c r="J123" s="83">
        <f>SUM(F123:I123)</f>
        <v>451858</v>
      </c>
    </row>
    <row r="124" spans="1:10">
      <c r="A124" s="40"/>
      <c r="B124" s="87"/>
      <c r="C124" s="88"/>
      <c r="D124" s="89"/>
      <c r="E124" s="90" t="s">
        <v>150</v>
      </c>
      <c r="F124" s="89">
        <f>SUM(F121:F123)</f>
        <v>8655183.8279999979</v>
      </c>
      <c r="G124" s="89">
        <f>SUM(G121:G123)</f>
        <v>141319.6</v>
      </c>
      <c r="H124" s="89">
        <f>SUM(H121:H123)</f>
        <v>572437.19999999995</v>
      </c>
      <c r="I124" s="89">
        <f>SUM(I121:I123)</f>
        <v>1476095.8764799999</v>
      </c>
      <c r="J124" s="89">
        <f>SUM(J121:J123)</f>
        <v>10845036.504480001</v>
      </c>
    </row>
    <row r="127" spans="1:10">
      <c r="A127" s="98" t="s">
        <v>151</v>
      </c>
    </row>
  </sheetData>
  <mergeCells count="28">
    <mergeCell ref="A19:A20"/>
    <mergeCell ref="A1:J5"/>
    <mergeCell ref="B7:J7"/>
    <mergeCell ref="B8:J8"/>
    <mergeCell ref="B9:J9"/>
    <mergeCell ref="B10:J10"/>
    <mergeCell ref="B11:J11"/>
    <mergeCell ref="B12:J12"/>
    <mergeCell ref="B13:J13"/>
    <mergeCell ref="F14:G14"/>
    <mergeCell ref="H14:J14"/>
    <mergeCell ref="A17:B17"/>
    <mergeCell ref="A21:A25"/>
    <mergeCell ref="A115:E115"/>
    <mergeCell ref="A76:B76"/>
    <mergeCell ref="A83:B83"/>
    <mergeCell ref="A85:A90"/>
    <mergeCell ref="A93:A99"/>
    <mergeCell ref="A103:B103"/>
    <mergeCell ref="A105:A111"/>
    <mergeCell ref="A71:A72"/>
    <mergeCell ref="A31:B31"/>
    <mergeCell ref="A33:A34"/>
    <mergeCell ref="A35:A42"/>
    <mergeCell ref="A43:A49"/>
    <mergeCell ref="A50:A56"/>
    <mergeCell ref="A62:B62"/>
    <mergeCell ref="A64:A70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0019-EF3C-4F37-A112-747910AFD760}">
  <dimension ref="A1:BF77"/>
  <sheetViews>
    <sheetView workbookViewId="0"/>
  </sheetViews>
  <sheetFormatPr defaultRowHeight="13.9"/>
  <cols>
    <col min="1" max="1" width="2.7109375" style="280" customWidth="1"/>
    <col min="2" max="2" width="4.28515625" style="283" customWidth="1"/>
    <col min="3" max="3" width="14.28515625" style="280" customWidth="1"/>
    <col min="4" max="4" width="16.5703125" style="280" customWidth="1"/>
    <col min="5" max="5" width="18.5703125" style="280" customWidth="1"/>
    <col min="6" max="6" width="15.28515625" style="280" bestFit="1" customWidth="1"/>
    <col min="7" max="7" width="0" style="280" hidden="1" customWidth="1"/>
    <col min="8" max="8" width="10.85546875" style="280" customWidth="1"/>
    <col min="9" max="9" width="14.28515625" style="280" customWidth="1"/>
    <col min="10" max="10" width="11" style="280" customWidth="1"/>
    <col min="11" max="11" width="10" style="280" customWidth="1"/>
    <col min="12" max="12" width="11.140625" style="280" customWidth="1"/>
    <col min="13" max="13" width="13.42578125" style="280" customWidth="1"/>
    <col min="14" max="14" width="11.7109375" style="280" customWidth="1"/>
    <col min="15" max="15" width="10.7109375" style="280" bestFit="1" customWidth="1"/>
    <col min="16" max="16" width="12.28515625" style="280" customWidth="1"/>
    <col min="17" max="17" width="9.28515625" style="280" bestFit="1" customWidth="1"/>
    <col min="18" max="18" width="12.7109375" style="280" bestFit="1" customWidth="1"/>
    <col min="19" max="19" width="9.28515625" style="280" bestFit="1" customWidth="1"/>
    <col min="20" max="20" width="9.85546875" style="280" bestFit="1" customWidth="1"/>
    <col min="21" max="22" width="9.28515625" style="280" bestFit="1" customWidth="1"/>
    <col min="23" max="23" width="12.7109375" style="280" bestFit="1" customWidth="1"/>
    <col min="24" max="24" width="10.7109375" style="280" bestFit="1" customWidth="1"/>
    <col min="25" max="25" width="9.85546875" style="280" bestFit="1" customWidth="1"/>
    <col min="26" max="27" width="9.28515625" style="280" bestFit="1" customWidth="1"/>
    <col min="28" max="28" width="13.42578125" style="280" bestFit="1" customWidth="1"/>
    <col min="29" max="29" width="14.42578125" style="280" bestFit="1" customWidth="1"/>
    <col min="30" max="30" width="13.7109375" style="280" customWidth="1"/>
    <col min="31" max="31" width="9.7109375" style="280" customWidth="1"/>
    <col min="32" max="32" width="8.7109375" style="280" customWidth="1"/>
    <col min="33" max="33" width="11.28515625" style="280" customWidth="1"/>
    <col min="34" max="34" width="14.5703125" style="280" bestFit="1" customWidth="1"/>
    <col min="35" max="37" width="11.28515625" style="280" customWidth="1"/>
    <col min="38" max="38" width="44.7109375" style="280" bestFit="1" customWidth="1"/>
    <col min="39" max="39" width="10.7109375" style="280" customWidth="1"/>
    <col min="40" max="40" width="9.7109375" style="280" customWidth="1"/>
    <col min="41" max="41" width="16" style="280" bestFit="1" customWidth="1"/>
    <col min="42" max="42" width="15.28515625" style="280" bestFit="1" customWidth="1"/>
    <col min="43" max="43" width="15.5703125" style="280" bestFit="1" customWidth="1"/>
    <col min="44" max="44" width="17" style="280" bestFit="1" customWidth="1"/>
    <col min="45" max="45" width="14" style="280" bestFit="1" customWidth="1"/>
    <col min="46" max="46" width="13.28515625" style="280" bestFit="1" customWidth="1"/>
    <col min="47" max="47" width="17" style="280" bestFit="1" customWidth="1"/>
    <col min="48" max="48" width="17.5703125" style="280" customWidth="1"/>
    <col min="49" max="49" width="13.7109375" style="280" bestFit="1" customWidth="1"/>
    <col min="50" max="51" width="12.5703125" style="280" bestFit="1" customWidth="1"/>
    <col min="52" max="52" width="14.28515625" style="280" customWidth="1"/>
    <col min="53" max="53" width="12" style="280" customWidth="1"/>
    <col min="54" max="54" width="13" style="280" customWidth="1"/>
    <col min="55" max="56" width="9.28515625" style="280" bestFit="1" customWidth="1"/>
    <col min="57" max="57" width="12.7109375" style="280" customWidth="1"/>
    <col min="58" max="16384" width="9.140625" style="280"/>
  </cols>
  <sheetData>
    <row r="1" spans="1:52" ht="23.25">
      <c r="B1" s="485" t="s">
        <v>397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 s="485"/>
      <c r="AV1" s="284"/>
      <c r="AW1" s="284"/>
      <c r="AX1" s="284"/>
      <c r="AY1" s="284"/>
      <c r="AZ1" s="284"/>
    </row>
    <row r="2" spans="1:52" ht="23.25">
      <c r="B2" s="485" t="s">
        <v>860</v>
      </c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284"/>
      <c r="AW2" s="284"/>
      <c r="AX2" s="284"/>
      <c r="AY2" s="284"/>
      <c r="AZ2" s="284"/>
    </row>
    <row r="3" spans="1:52" ht="12.75">
      <c r="A3" s="283"/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6"/>
      <c r="AE3" s="486"/>
      <c r="AF3" s="486"/>
      <c r="AG3" s="486"/>
      <c r="AH3" s="486"/>
      <c r="AI3" s="486"/>
      <c r="AJ3" s="486"/>
      <c r="AK3" s="486"/>
      <c r="AL3" s="486"/>
      <c r="AM3" s="486"/>
      <c r="AN3" s="486"/>
      <c r="AO3" s="486"/>
      <c r="AP3" s="486"/>
      <c r="AQ3" s="486"/>
      <c r="AR3" s="486"/>
      <c r="AS3" s="486"/>
      <c r="AT3" s="486"/>
      <c r="AU3" s="486"/>
      <c r="AV3" s="284"/>
      <c r="AW3" s="284"/>
      <c r="AX3" s="284"/>
      <c r="AY3" s="284"/>
      <c r="AZ3" s="284"/>
    </row>
    <row r="4" spans="1:52" ht="12.75">
      <c r="B4" s="286"/>
      <c r="AT4" s="287"/>
    </row>
    <row r="5" spans="1:52" ht="12.75">
      <c r="B5" s="286"/>
      <c r="AT5" s="287"/>
    </row>
    <row r="6" spans="1:52" ht="12.75" customHeight="1">
      <c r="B6" s="286"/>
      <c r="C6" s="487" t="s">
        <v>399</v>
      </c>
      <c r="D6" s="488"/>
      <c r="E6" s="488"/>
      <c r="F6" s="489"/>
      <c r="AT6" s="287"/>
    </row>
    <row r="7" spans="1:52" ht="12.75" customHeight="1">
      <c r="B7" s="286"/>
      <c r="C7" s="280" t="s">
        <v>400</v>
      </c>
      <c r="D7" s="280" t="s">
        <v>400</v>
      </c>
      <c r="H7" s="490" t="s">
        <v>401</v>
      </c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2"/>
      <c r="W7" s="490" t="s">
        <v>402</v>
      </c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2"/>
      <c r="AT7" s="287"/>
    </row>
    <row r="8" spans="1:52" ht="27">
      <c r="B8" s="289" t="s">
        <v>403</v>
      </c>
      <c r="C8" s="290" t="s">
        <v>404</v>
      </c>
      <c r="D8" s="290" t="s">
        <v>405</v>
      </c>
      <c r="E8" s="290" t="s">
        <v>406</v>
      </c>
      <c r="F8" s="290" t="s">
        <v>407</v>
      </c>
      <c r="G8" s="290" t="s">
        <v>408</v>
      </c>
      <c r="H8" s="290" t="s">
        <v>409</v>
      </c>
      <c r="I8" s="290" t="s">
        <v>410</v>
      </c>
      <c r="J8" s="290" t="s">
        <v>411</v>
      </c>
      <c r="K8" s="290" t="s">
        <v>412</v>
      </c>
      <c r="L8" s="290" t="s">
        <v>413</v>
      </c>
      <c r="M8" s="290" t="s">
        <v>409</v>
      </c>
      <c r="N8" s="290" t="s">
        <v>410</v>
      </c>
      <c r="O8" s="290" t="s">
        <v>411</v>
      </c>
      <c r="P8" s="290" t="s">
        <v>412</v>
      </c>
      <c r="Q8" s="290" t="s">
        <v>413</v>
      </c>
      <c r="R8" s="290" t="s">
        <v>409</v>
      </c>
      <c r="S8" s="290" t="s">
        <v>410</v>
      </c>
      <c r="T8" s="290" t="s">
        <v>411</v>
      </c>
      <c r="U8" s="290" t="s">
        <v>412</v>
      </c>
      <c r="V8" s="290" t="s">
        <v>413</v>
      </c>
      <c r="W8" s="290" t="s">
        <v>409</v>
      </c>
      <c r="X8" s="290" t="s">
        <v>410</v>
      </c>
      <c r="Y8" s="290" t="s">
        <v>411</v>
      </c>
      <c r="Z8" s="290" t="s">
        <v>412</v>
      </c>
      <c r="AA8" s="290" t="s">
        <v>413</v>
      </c>
      <c r="AB8" s="290" t="s">
        <v>409</v>
      </c>
      <c r="AC8" s="290" t="s">
        <v>410</v>
      </c>
      <c r="AD8" s="290" t="s">
        <v>411</v>
      </c>
      <c r="AE8" s="290" t="s">
        <v>412</v>
      </c>
      <c r="AF8" s="290" t="s">
        <v>413</v>
      </c>
      <c r="AG8" s="290" t="s">
        <v>409</v>
      </c>
      <c r="AH8" s="290" t="s">
        <v>410</v>
      </c>
      <c r="AI8" s="290" t="s">
        <v>411</v>
      </c>
      <c r="AJ8" s="290" t="s">
        <v>412</v>
      </c>
      <c r="AK8" s="290" t="s">
        <v>413</v>
      </c>
      <c r="AL8" s="290" t="s">
        <v>414</v>
      </c>
      <c r="AM8" s="290" t="s">
        <v>415</v>
      </c>
      <c r="AN8" s="290" t="s">
        <v>416</v>
      </c>
      <c r="AO8" s="290" t="s">
        <v>417</v>
      </c>
      <c r="AP8" s="290" t="s">
        <v>418</v>
      </c>
      <c r="AQ8" s="290" t="s">
        <v>419</v>
      </c>
      <c r="AR8" s="290" t="s">
        <v>70</v>
      </c>
      <c r="AS8" s="290" t="s">
        <v>420</v>
      </c>
      <c r="AT8" s="290" t="s">
        <v>418</v>
      </c>
      <c r="AU8" s="291" t="s">
        <v>70</v>
      </c>
    </row>
    <row r="9" spans="1:52" s="281" customFormat="1" ht="12.75" customHeight="1">
      <c r="B9" s="292">
        <v>3</v>
      </c>
      <c r="C9" s="293"/>
      <c r="D9" s="294"/>
      <c r="E9" s="294"/>
      <c r="F9" s="295" t="s">
        <v>421</v>
      </c>
      <c r="G9" s="296" t="s">
        <v>632</v>
      </c>
      <c r="H9" s="297"/>
      <c r="I9" s="297"/>
      <c r="J9" s="297"/>
      <c r="K9" s="297"/>
      <c r="L9" s="297"/>
      <c r="M9" s="298">
        <v>46404</v>
      </c>
      <c r="N9" s="299" t="s">
        <v>423</v>
      </c>
      <c r="O9" s="299" t="s">
        <v>424</v>
      </c>
      <c r="P9" s="300">
        <v>0.8</v>
      </c>
      <c r="Q9" s="300">
        <v>0.85069444444444442</v>
      </c>
      <c r="R9" s="301">
        <v>46405</v>
      </c>
      <c r="S9" s="302" t="s">
        <v>861</v>
      </c>
      <c r="T9" s="303" t="s">
        <v>787</v>
      </c>
      <c r="U9" s="302">
        <v>0.53125</v>
      </c>
      <c r="V9" s="302">
        <v>0.59097222222222223</v>
      </c>
      <c r="W9" s="304">
        <v>46408</v>
      </c>
      <c r="X9" s="305" t="s">
        <v>788</v>
      </c>
      <c r="Y9" s="305" t="s">
        <v>789</v>
      </c>
      <c r="Z9" s="305">
        <v>0.43402777777777779</v>
      </c>
      <c r="AA9" s="305">
        <v>0.56944444444444442</v>
      </c>
      <c r="AB9" s="304">
        <v>46408</v>
      </c>
      <c r="AC9" s="306" t="s">
        <v>429</v>
      </c>
      <c r="AD9" s="306" t="s">
        <v>430</v>
      </c>
      <c r="AE9" s="307">
        <v>0.70833333333333337</v>
      </c>
      <c r="AF9" s="307">
        <v>0.75694444444444442</v>
      </c>
      <c r="AG9" s="307"/>
      <c r="AH9" s="308"/>
      <c r="AI9" s="308"/>
      <c r="AJ9" s="308"/>
      <c r="AK9" s="308"/>
      <c r="AL9" s="309" t="s">
        <v>431</v>
      </c>
      <c r="AM9" s="310"/>
      <c r="AN9" s="310"/>
      <c r="AO9" s="309">
        <f>SUM(6502)*B9</f>
        <v>19506</v>
      </c>
      <c r="AP9" s="309">
        <f>SUM(1041)*B9</f>
        <v>3123</v>
      </c>
      <c r="AQ9" s="309">
        <f>SUM(2509+1600)*B9</f>
        <v>12327</v>
      </c>
      <c r="AR9" s="309">
        <f>AO9+AP9+AQ9</f>
        <v>34956</v>
      </c>
      <c r="AS9" s="309">
        <f>230*B9</f>
        <v>690</v>
      </c>
      <c r="AT9" s="309">
        <f>AS9*16%</f>
        <v>110.4</v>
      </c>
      <c r="AU9" s="311">
        <f>AR9+AS9+AT9</f>
        <v>35756.400000000001</v>
      </c>
    </row>
    <row r="10" spans="1:52" s="281" customFormat="1" ht="12.75" customHeight="1">
      <c r="B10" s="292">
        <v>3</v>
      </c>
      <c r="C10" s="293"/>
      <c r="D10" s="294"/>
      <c r="E10" s="294"/>
      <c r="F10" s="312" t="s">
        <v>432</v>
      </c>
      <c r="G10" s="296"/>
      <c r="H10" s="297"/>
      <c r="I10" s="297"/>
      <c r="J10" s="297"/>
      <c r="K10" s="297"/>
      <c r="L10" s="297"/>
      <c r="M10" s="301">
        <v>46405</v>
      </c>
      <c r="N10" s="303" t="s">
        <v>790</v>
      </c>
      <c r="O10" s="303" t="s">
        <v>434</v>
      </c>
      <c r="P10" s="302">
        <v>0.39791666666666664</v>
      </c>
      <c r="Q10" s="302">
        <v>0.4548611111111111</v>
      </c>
      <c r="R10" s="301">
        <v>46405</v>
      </c>
      <c r="S10" s="302" t="s">
        <v>791</v>
      </c>
      <c r="T10" s="303" t="s">
        <v>787</v>
      </c>
      <c r="U10" s="302">
        <v>0.53125</v>
      </c>
      <c r="V10" s="302">
        <v>0.59097222222222223</v>
      </c>
      <c r="W10" s="304">
        <v>46408</v>
      </c>
      <c r="X10" s="305" t="s">
        <v>788</v>
      </c>
      <c r="Y10" s="305" t="s">
        <v>789</v>
      </c>
      <c r="Z10" s="305">
        <v>0.43402777777777779</v>
      </c>
      <c r="AA10" s="305">
        <v>0.56944444444444442</v>
      </c>
      <c r="AB10" s="304">
        <v>46408</v>
      </c>
      <c r="AC10" s="314" t="s">
        <v>792</v>
      </c>
      <c r="AD10" s="314" t="s">
        <v>647</v>
      </c>
      <c r="AE10" s="305">
        <v>0.625</v>
      </c>
      <c r="AF10" s="305">
        <v>0.68194444444444446</v>
      </c>
      <c r="AG10" s="305"/>
      <c r="AH10" s="305"/>
      <c r="AI10" s="305"/>
      <c r="AJ10" s="305"/>
      <c r="AK10" s="305"/>
      <c r="AL10" s="309" t="s">
        <v>482</v>
      </c>
      <c r="AM10" s="315"/>
      <c r="AN10" s="316"/>
      <c r="AO10" s="309">
        <f>SUM(7620+3204)*B10</f>
        <v>32472</v>
      </c>
      <c r="AP10" s="309">
        <f>SUM(1220+1600)*B10</f>
        <v>8460</v>
      </c>
      <c r="AQ10" s="309">
        <f>SUM(1000+800+382+657)*B10</f>
        <v>8517</v>
      </c>
      <c r="AR10" s="309">
        <f>AO10+AP10+AQ10</f>
        <v>49449</v>
      </c>
      <c r="AS10" s="309">
        <f>230*B10</f>
        <v>690</v>
      </c>
      <c r="AT10" s="309">
        <f>AS10*16%</f>
        <v>110.4</v>
      </c>
      <c r="AU10" s="311">
        <f>AR10+AS10+AT10</f>
        <v>50249.4</v>
      </c>
    </row>
    <row r="11" spans="1:52" s="281" customFormat="1" ht="12.75" customHeight="1">
      <c r="B11" s="292">
        <v>4</v>
      </c>
      <c r="C11" s="293"/>
      <c r="D11" s="294"/>
      <c r="E11" s="294"/>
      <c r="F11" s="312" t="s">
        <v>438</v>
      </c>
      <c r="G11" s="317"/>
      <c r="H11" s="318"/>
      <c r="I11" s="318"/>
      <c r="J11" s="318"/>
      <c r="K11" s="318"/>
      <c r="L11" s="318"/>
      <c r="M11" s="301">
        <v>46405</v>
      </c>
      <c r="N11" s="303" t="s">
        <v>793</v>
      </c>
      <c r="O11" s="303" t="s">
        <v>649</v>
      </c>
      <c r="P11" s="302">
        <v>0.32916666666666666</v>
      </c>
      <c r="Q11" s="302">
        <v>0.37847222222222221</v>
      </c>
      <c r="R11" s="301">
        <v>46405</v>
      </c>
      <c r="S11" s="302" t="s">
        <v>791</v>
      </c>
      <c r="T11" s="303" t="s">
        <v>787</v>
      </c>
      <c r="U11" s="302">
        <v>0.53125</v>
      </c>
      <c r="V11" s="302">
        <v>0.59097222222222223</v>
      </c>
      <c r="W11" s="304">
        <v>46408</v>
      </c>
      <c r="X11" s="305" t="s">
        <v>794</v>
      </c>
      <c r="Y11" s="305" t="s">
        <v>789</v>
      </c>
      <c r="Z11" s="305">
        <v>0.60763888888888884</v>
      </c>
      <c r="AA11" s="305">
        <v>0.74652777777777779</v>
      </c>
      <c r="AB11" s="304">
        <v>46408</v>
      </c>
      <c r="AC11" s="314" t="s">
        <v>795</v>
      </c>
      <c r="AD11" s="314" t="s">
        <v>651</v>
      </c>
      <c r="AE11" s="305">
        <v>0.81944444444444442</v>
      </c>
      <c r="AF11" s="305">
        <v>0.86875000000000002</v>
      </c>
      <c r="AG11" s="305"/>
      <c r="AH11" s="305"/>
      <c r="AI11" s="305"/>
      <c r="AJ11" s="305"/>
      <c r="AK11" s="305"/>
      <c r="AL11" s="309" t="s">
        <v>482</v>
      </c>
      <c r="AM11" s="315"/>
      <c r="AN11" s="316"/>
      <c r="AO11" s="309">
        <f>5728*B11</f>
        <v>22912</v>
      </c>
      <c r="AP11" s="309">
        <f>917*B11</f>
        <v>3668</v>
      </c>
      <c r="AQ11" s="309">
        <f>SUM(1310+1600)*B11</f>
        <v>11640</v>
      </c>
      <c r="AR11" s="309">
        <f>AO11+AP11+AQ11</f>
        <v>38220</v>
      </c>
      <c r="AS11" s="309">
        <f>230*B11</f>
        <v>920</v>
      </c>
      <c r="AT11" s="309">
        <f>AS11*16%</f>
        <v>147.20000000000002</v>
      </c>
      <c r="AU11" s="311">
        <f>AR11+AS11+AT11</f>
        <v>39287.199999999997</v>
      </c>
    </row>
    <row r="12" spans="1:52" s="281" customFormat="1" ht="12.75" customHeight="1">
      <c r="B12" s="292">
        <v>7</v>
      </c>
      <c r="C12" s="293"/>
      <c r="D12" s="294"/>
      <c r="E12" s="294"/>
      <c r="F12" s="312" t="s">
        <v>445</v>
      </c>
      <c r="G12" s="296"/>
      <c r="H12" s="297"/>
      <c r="I12" s="297"/>
      <c r="J12" s="297"/>
      <c r="K12" s="297"/>
      <c r="L12" s="297"/>
      <c r="M12" s="301">
        <v>46405</v>
      </c>
      <c r="N12" s="303" t="s">
        <v>589</v>
      </c>
      <c r="O12" s="303" t="s">
        <v>653</v>
      </c>
      <c r="P12" s="302">
        <v>0.3923611111111111</v>
      </c>
      <c r="Q12" s="302">
        <v>0.48958333333333331</v>
      </c>
      <c r="R12" s="301">
        <v>46405</v>
      </c>
      <c r="S12" s="302" t="s">
        <v>791</v>
      </c>
      <c r="T12" s="303" t="s">
        <v>787</v>
      </c>
      <c r="U12" s="302">
        <v>0.53125</v>
      </c>
      <c r="V12" s="302">
        <v>0.59097222222222223</v>
      </c>
      <c r="W12" s="304">
        <v>46408</v>
      </c>
      <c r="X12" s="305" t="s">
        <v>788</v>
      </c>
      <c r="Y12" s="305" t="s">
        <v>789</v>
      </c>
      <c r="Z12" s="305">
        <v>0.43402777777777779</v>
      </c>
      <c r="AA12" s="305">
        <v>0.56944444444444442</v>
      </c>
      <c r="AB12" s="304">
        <v>46408</v>
      </c>
      <c r="AC12" s="314" t="s">
        <v>633</v>
      </c>
      <c r="AD12" s="314" t="s">
        <v>450</v>
      </c>
      <c r="AE12" s="305">
        <v>0.625</v>
      </c>
      <c r="AF12" s="305">
        <v>0.72777777777777775</v>
      </c>
      <c r="AG12" s="305"/>
      <c r="AH12" s="305"/>
      <c r="AI12" s="305"/>
      <c r="AJ12" s="305"/>
      <c r="AK12" s="305"/>
      <c r="AL12" s="309" t="s">
        <v>451</v>
      </c>
      <c r="AM12" s="315"/>
      <c r="AN12" s="316"/>
      <c r="AO12" s="309">
        <f>SUM(5680)*B12</f>
        <v>39760</v>
      </c>
      <c r="AP12" s="309">
        <f>SUM(909)*B12</f>
        <v>6363</v>
      </c>
      <c r="AQ12" s="309">
        <f>SUM(1472+1600)*B12</f>
        <v>21504</v>
      </c>
      <c r="AR12" s="309">
        <f>AO12+AP12+AQ12</f>
        <v>67627</v>
      </c>
      <c r="AS12" s="309">
        <f>230*B12</f>
        <v>1610</v>
      </c>
      <c r="AT12" s="309">
        <f>AS12*16%</f>
        <v>257.60000000000002</v>
      </c>
      <c r="AU12" s="311">
        <f>AR12+AS12+AT12</f>
        <v>69494.600000000006</v>
      </c>
    </row>
    <row r="13" spans="1:52" s="281" customFormat="1" ht="12.75" customHeight="1">
      <c r="B13" s="292">
        <v>70</v>
      </c>
      <c r="C13" s="293"/>
      <c r="D13" s="294"/>
      <c r="E13" s="294"/>
      <c r="F13" s="312" t="s">
        <v>452</v>
      </c>
      <c r="G13" s="296"/>
      <c r="H13" s="301"/>
      <c r="I13" s="301"/>
      <c r="J13" s="301"/>
      <c r="K13" s="301"/>
      <c r="L13" s="301"/>
      <c r="M13" s="301"/>
      <c r="N13" s="303"/>
      <c r="O13" s="303"/>
      <c r="P13" s="302"/>
      <c r="Q13" s="302"/>
      <c r="R13" s="301">
        <v>46405</v>
      </c>
      <c r="S13" s="302" t="s">
        <v>797</v>
      </c>
      <c r="T13" s="303" t="s">
        <v>787</v>
      </c>
      <c r="U13" s="302">
        <v>0.52777777777777779</v>
      </c>
      <c r="V13" s="302">
        <v>0.57847222222222228</v>
      </c>
      <c r="W13" s="304">
        <v>46408</v>
      </c>
      <c r="X13" s="305" t="s">
        <v>798</v>
      </c>
      <c r="Y13" s="305" t="s">
        <v>789</v>
      </c>
      <c r="Z13" s="305">
        <v>0.63402777777777775</v>
      </c>
      <c r="AA13" s="305">
        <v>0.76736111111111116</v>
      </c>
      <c r="AB13" s="304"/>
      <c r="AC13" s="314"/>
      <c r="AD13" s="314"/>
      <c r="AE13" s="305"/>
      <c r="AF13" s="305"/>
      <c r="AG13" s="305"/>
      <c r="AH13" s="305"/>
      <c r="AI13" s="305"/>
      <c r="AJ13" s="305"/>
      <c r="AK13" s="305"/>
      <c r="AL13" s="319" t="s">
        <v>444</v>
      </c>
      <c r="AM13" s="315"/>
      <c r="AN13" s="316"/>
      <c r="AO13" s="309">
        <f>3894*B13</f>
        <v>272580</v>
      </c>
      <c r="AP13" s="309">
        <f>624*B13</f>
        <v>43680</v>
      </c>
      <c r="AQ13" s="309">
        <f>1482*B13</f>
        <v>103740</v>
      </c>
      <c r="AR13" s="309">
        <f>AO13+AP13+AQ13</f>
        <v>420000</v>
      </c>
      <c r="AS13" s="309">
        <f>230*B13</f>
        <v>16100</v>
      </c>
      <c r="AT13" s="309">
        <f>AS13*16%</f>
        <v>2576</v>
      </c>
      <c r="AU13" s="311">
        <f>AR13+AS13+AT13</f>
        <v>438676</v>
      </c>
    </row>
    <row r="14" spans="1:52" s="281" customFormat="1" ht="12.75" customHeight="1">
      <c r="B14" s="292">
        <v>70</v>
      </c>
      <c r="C14" s="293"/>
      <c r="D14" s="294"/>
      <c r="E14" s="294"/>
      <c r="F14" s="312" t="s">
        <v>452</v>
      </c>
      <c r="G14" s="296"/>
      <c r="H14" s="301"/>
      <c r="I14" s="301"/>
      <c r="J14" s="301"/>
      <c r="K14" s="301"/>
      <c r="L14" s="301"/>
      <c r="M14" s="301"/>
      <c r="N14" s="303"/>
      <c r="O14" s="303"/>
      <c r="P14" s="302"/>
      <c r="Q14" s="302"/>
      <c r="R14" s="301">
        <v>46405</v>
      </c>
      <c r="S14" s="302" t="s">
        <v>799</v>
      </c>
      <c r="T14" s="303" t="s">
        <v>787</v>
      </c>
      <c r="U14" s="302">
        <v>0.57291666666666663</v>
      </c>
      <c r="V14" s="302">
        <v>0.625</v>
      </c>
      <c r="W14" s="304">
        <v>46408</v>
      </c>
      <c r="X14" s="305" t="s">
        <v>800</v>
      </c>
      <c r="Y14" s="305" t="s">
        <v>789</v>
      </c>
      <c r="Z14" s="305">
        <v>0.65138888888888891</v>
      </c>
      <c r="AA14" s="305">
        <v>0.78125</v>
      </c>
      <c r="AB14" s="304"/>
      <c r="AC14" s="314"/>
      <c r="AD14" s="314"/>
      <c r="AE14" s="305"/>
      <c r="AF14" s="305"/>
      <c r="AG14" s="305"/>
      <c r="AH14" s="305"/>
      <c r="AI14" s="305"/>
      <c r="AJ14" s="305"/>
      <c r="AK14" s="305"/>
      <c r="AL14" s="319" t="s">
        <v>457</v>
      </c>
      <c r="AM14" s="315"/>
      <c r="AN14" s="316"/>
      <c r="AO14" s="320">
        <f>4860*B14</f>
        <v>340200</v>
      </c>
      <c r="AP14" s="309">
        <f>778*B14</f>
        <v>54460</v>
      </c>
      <c r="AQ14" s="309">
        <f>SUM(1275+1247)*B14</f>
        <v>176540</v>
      </c>
      <c r="AR14" s="309">
        <f>AO14+AP14+AQ14</f>
        <v>571200</v>
      </c>
      <c r="AS14" s="309">
        <f>230*B14</f>
        <v>16100</v>
      </c>
      <c r="AT14" s="309">
        <f>AS14*16%</f>
        <v>2576</v>
      </c>
      <c r="AU14" s="311">
        <f>AR14+AS14+AT14</f>
        <v>589876</v>
      </c>
    </row>
    <row r="15" spans="1:52" s="281" customFormat="1" ht="12.75" customHeight="1">
      <c r="B15" s="292">
        <v>5</v>
      </c>
      <c r="C15" s="293"/>
      <c r="D15" s="294"/>
      <c r="E15" s="294"/>
      <c r="F15" s="312" t="s">
        <v>458</v>
      </c>
      <c r="G15" s="296"/>
      <c r="H15" s="301"/>
      <c r="I15" s="301"/>
      <c r="J15" s="301"/>
      <c r="K15" s="301"/>
      <c r="L15" s="301"/>
      <c r="M15" s="301">
        <v>46405</v>
      </c>
      <c r="N15" s="303" t="s">
        <v>801</v>
      </c>
      <c r="O15" s="303" t="s">
        <v>671</v>
      </c>
      <c r="P15" s="302">
        <v>0.25</v>
      </c>
      <c r="Q15" s="302">
        <v>0.40625</v>
      </c>
      <c r="R15" s="301">
        <v>46405</v>
      </c>
      <c r="S15" s="302" t="s">
        <v>791</v>
      </c>
      <c r="T15" s="303" t="s">
        <v>787</v>
      </c>
      <c r="U15" s="302">
        <v>0.53125</v>
      </c>
      <c r="V15" s="302">
        <v>0.59097222222222223</v>
      </c>
      <c r="W15" s="304">
        <v>46408</v>
      </c>
      <c r="X15" s="305" t="s">
        <v>788</v>
      </c>
      <c r="Y15" s="305" t="s">
        <v>789</v>
      </c>
      <c r="Z15" s="305">
        <v>0.43402777777777779</v>
      </c>
      <c r="AA15" s="305">
        <v>0.56944444444444442</v>
      </c>
      <c r="AB15" s="304">
        <v>46408</v>
      </c>
      <c r="AC15" s="314" t="s">
        <v>802</v>
      </c>
      <c r="AD15" s="305" t="s">
        <v>673</v>
      </c>
      <c r="AE15" s="305">
        <v>0.63541666666666663</v>
      </c>
      <c r="AF15" s="305">
        <v>0.71527777777777779</v>
      </c>
      <c r="AG15" s="305"/>
      <c r="AH15" s="305"/>
      <c r="AI15" s="305"/>
      <c r="AJ15" s="305"/>
      <c r="AK15" s="305"/>
      <c r="AL15" s="309" t="s">
        <v>482</v>
      </c>
      <c r="AM15" s="315"/>
      <c r="AN15" s="316"/>
      <c r="AO15" s="309">
        <f>5100*B15</f>
        <v>25500</v>
      </c>
      <c r="AP15" s="309">
        <f>816*B15</f>
        <v>4080</v>
      </c>
      <c r="AQ15" s="309">
        <f>SUM(2483+1800)*B15</f>
        <v>21415</v>
      </c>
      <c r="AR15" s="309">
        <f>AO15+AP15+AQ15</f>
        <v>50995</v>
      </c>
      <c r="AS15" s="309">
        <f>230*B15</f>
        <v>1150</v>
      </c>
      <c r="AT15" s="309">
        <f>AS15*16%</f>
        <v>184</v>
      </c>
      <c r="AU15" s="311">
        <f>AR15+AS15+AT15</f>
        <v>52329</v>
      </c>
    </row>
    <row r="16" spans="1:52" s="281" customFormat="1" ht="12.75" customHeight="1">
      <c r="B16" s="292">
        <v>2</v>
      </c>
      <c r="C16" s="293"/>
      <c r="D16" s="294"/>
      <c r="E16" s="294"/>
      <c r="F16" s="312" t="s">
        <v>463</v>
      </c>
      <c r="G16" s="296"/>
      <c r="H16" s="301"/>
      <c r="I16" s="303"/>
      <c r="J16" s="303"/>
      <c r="K16" s="302"/>
      <c r="L16" s="302"/>
      <c r="M16" s="303">
        <v>46405</v>
      </c>
      <c r="N16" s="302" t="s">
        <v>479</v>
      </c>
      <c r="O16" s="303" t="s">
        <v>428</v>
      </c>
      <c r="P16" s="302">
        <v>0.35972222222222222</v>
      </c>
      <c r="Q16" s="302">
        <v>0.4236111111111111</v>
      </c>
      <c r="R16" s="303">
        <v>46405</v>
      </c>
      <c r="S16" s="302" t="s">
        <v>791</v>
      </c>
      <c r="T16" s="303" t="s">
        <v>787</v>
      </c>
      <c r="U16" s="302">
        <v>0.53125</v>
      </c>
      <c r="V16" s="302">
        <v>0.59097222222222223</v>
      </c>
      <c r="W16" s="304">
        <v>46408</v>
      </c>
      <c r="X16" s="314" t="s">
        <v>788</v>
      </c>
      <c r="Y16" s="305" t="s">
        <v>789</v>
      </c>
      <c r="Z16" s="305">
        <v>0.43402777777777779</v>
      </c>
      <c r="AA16" s="305">
        <v>0.56944444444444442</v>
      </c>
      <c r="AB16" s="304">
        <v>46408</v>
      </c>
      <c r="AC16" s="305" t="s">
        <v>803</v>
      </c>
      <c r="AD16" s="305" t="s">
        <v>426</v>
      </c>
      <c r="AE16" s="305">
        <v>0.63541666666666663</v>
      </c>
      <c r="AF16" s="305">
        <v>0.78263888888888888</v>
      </c>
      <c r="AG16" s="320"/>
      <c r="AH16" s="315"/>
      <c r="AI16" s="321"/>
      <c r="AJ16" s="309"/>
      <c r="AK16" s="309"/>
      <c r="AL16" s="309" t="s">
        <v>482</v>
      </c>
      <c r="AM16" s="309"/>
      <c r="AN16" s="309"/>
      <c r="AO16" s="309">
        <f>6596*$B$16</f>
        <v>13192</v>
      </c>
      <c r="AP16" s="309">
        <f>SUM(1056)*$B$16</f>
        <v>2112</v>
      </c>
      <c r="AQ16" s="309">
        <f>SUM(2070+1600)*$B$16</f>
        <v>7340</v>
      </c>
      <c r="AR16" s="309">
        <f>AO16+AP16+AQ16</f>
        <v>22644</v>
      </c>
      <c r="AS16" s="309">
        <f>230*B16</f>
        <v>460</v>
      </c>
      <c r="AT16" s="309">
        <f>AS16*16%</f>
        <v>73.600000000000009</v>
      </c>
      <c r="AU16" s="311">
        <f>AR16+AS16+AT16</f>
        <v>23177.599999999999</v>
      </c>
    </row>
    <row r="17" spans="2:47" s="281" customFormat="1" ht="12.75" customHeight="1">
      <c r="B17" s="292">
        <v>1</v>
      </c>
      <c r="C17" s="293"/>
      <c r="D17" s="294"/>
      <c r="E17" s="294"/>
      <c r="F17" s="312" t="s">
        <v>465</v>
      </c>
      <c r="G17" s="296"/>
      <c r="H17" s="301"/>
      <c r="I17" s="301"/>
      <c r="J17" s="301"/>
      <c r="K17" s="301"/>
      <c r="L17" s="301"/>
      <c r="M17" s="298">
        <v>46404</v>
      </c>
      <c r="N17" s="303" t="s">
        <v>466</v>
      </c>
      <c r="O17" s="303" t="s">
        <v>467</v>
      </c>
      <c r="P17" s="302">
        <v>0.65486111111111112</v>
      </c>
      <c r="Q17" s="302">
        <v>0.76736111111111116</v>
      </c>
      <c r="R17" s="301">
        <v>46405</v>
      </c>
      <c r="S17" s="302" t="s">
        <v>425</v>
      </c>
      <c r="T17" s="303" t="s">
        <v>787</v>
      </c>
      <c r="U17" s="302">
        <v>0.33680555555555558</v>
      </c>
      <c r="V17" s="302">
        <v>0.3972222222222222</v>
      </c>
      <c r="W17" s="304">
        <v>46408</v>
      </c>
      <c r="X17" s="305" t="s">
        <v>804</v>
      </c>
      <c r="Y17" s="305" t="s">
        <v>789</v>
      </c>
      <c r="Z17" s="305">
        <v>0.25347222222222221</v>
      </c>
      <c r="AA17" s="305">
        <v>0.3888888888888889</v>
      </c>
      <c r="AB17" s="304">
        <v>46408</v>
      </c>
      <c r="AC17" s="304" t="s">
        <v>469</v>
      </c>
      <c r="AD17" s="314" t="s">
        <v>470</v>
      </c>
      <c r="AE17" s="305">
        <v>0.58680555555555558</v>
      </c>
      <c r="AF17" s="305">
        <v>0.61041666666666672</v>
      </c>
      <c r="AG17" s="304"/>
      <c r="AH17" s="305"/>
      <c r="AI17" s="305"/>
      <c r="AJ17" s="305"/>
      <c r="AK17" s="305"/>
      <c r="AL17" s="309" t="s">
        <v>482</v>
      </c>
      <c r="AM17" s="315"/>
      <c r="AN17" s="316"/>
      <c r="AO17" s="309">
        <f>SUM(6498)*B17</f>
        <v>6498</v>
      </c>
      <c r="AP17" s="309">
        <f>1040*B17</f>
        <v>1040</v>
      </c>
      <c r="AQ17" s="309">
        <f>SUM(1264+1800)*B17</f>
        <v>3064</v>
      </c>
      <c r="AR17" s="309">
        <f>AO17+AP17+AQ17</f>
        <v>10602</v>
      </c>
      <c r="AS17" s="309">
        <f>230*B17</f>
        <v>230</v>
      </c>
      <c r="AT17" s="309">
        <f>AS17*16%</f>
        <v>36.800000000000004</v>
      </c>
      <c r="AU17" s="311">
        <f>AR17+AS17+AT17</f>
        <v>10868.8</v>
      </c>
    </row>
    <row r="18" spans="2:47" s="281" customFormat="1" ht="12.75" customHeight="1">
      <c r="B18" s="292">
        <v>3</v>
      </c>
      <c r="C18" s="293"/>
      <c r="D18" s="294"/>
      <c r="E18" s="294"/>
      <c r="F18" s="312" t="s">
        <v>471</v>
      </c>
      <c r="G18" s="296"/>
      <c r="H18" s="301"/>
      <c r="I18" s="301"/>
      <c r="J18" s="301"/>
      <c r="K18" s="301"/>
      <c r="L18" s="301"/>
      <c r="M18" s="301">
        <v>46405</v>
      </c>
      <c r="N18" s="303" t="s">
        <v>472</v>
      </c>
      <c r="O18" s="303" t="s">
        <v>473</v>
      </c>
      <c r="P18" s="302">
        <v>0.2298611111111111</v>
      </c>
      <c r="Q18" s="302">
        <v>0.31319444444444444</v>
      </c>
      <c r="R18" s="301">
        <v>46405</v>
      </c>
      <c r="S18" s="302" t="s">
        <v>799</v>
      </c>
      <c r="T18" s="303" t="s">
        <v>787</v>
      </c>
      <c r="U18" s="302">
        <v>0.57291666666666663</v>
      </c>
      <c r="V18" s="302">
        <v>0.625</v>
      </c>
      <c r="W18" s="304">
        <v>46408</v>
      </c>
      <c r="X18" s="305" t="s">
        <v>800</v>
      </c>
      <c r="Y18" s="305" t="s">
        <v>789</v>
      </c>
      <c r="Z18" s="305">
        <v>0.65138888888888891</v>
      </c>
      <c r="AA18" s="305">
        <v>0.78125</v>
      </c>
      <c r="AB18" s="304">
        <v>46408</v>
      </c>
      <c r="AC18" s="314" t="s">
        <v>472</v>
      </c>
      <c r="AD18" s="314" t="s">
        <v>474</v>
      </c>
      <c r="AE18" s="305">
        <v>0.625</v>
      </c>
      <c r="AF18" s="305">
        <v>0.70833333333333337</v>
      </c>
      <c r="AG18" s="305"/>
      <c r="AH18" s="305"/>
      <c r="AI18" s="305"/>
      <c r="AJ18" s="305"/>
      <c r="AK18" s="305"/>
      <c r="AL18" s="319" t="s">
        <v>475</v>
      </c>
      <c r="AM18" s="315"/>
      <c r="AN18" s="316"/>
      <c r="AO18" s="309">
        <f>4860*B18</f>
        <v>14580</v>
      </c>
      <c r="AP18" s="309">
        <f>778*B18</f>
        <v>2334</v>
      </c>
      <c r="AQ18" s="309">
        <f>SUM(1275+1247+999.7)*B18</f>
        <v>10565.099999999999</v>
      </c>
      <c r="AR18" s="309">
        <f>AO18+AP18+AQ18</f>
        <v>27479.1</v>
      </c>
      <c r="AS18" s="309">
        <f>230*B18</f>
        <v>690</v>
      </c>
      <c r="AT18" s="309">
        <f>AS18*16%</f>
        <v>110.4</v>
      </c>
      <c r="AU18" s="311">
        <f>AR18+AS18+AT18</f>
        <v>28279.5</v>
      </c>
    </row>
    <row r="19" spans="2:47" s="281" customFormat="1" ht="12.75" customHeight="1">
      <c r="B19" s="292">
        <v>7</v>
      </c>
      <c r="C19" s="293"/>
      <c r="D19" s="294"/>
      <c r="E19" s="294"/>
      <c r="F19" s="312" t="s">
        <v>476</v>
      </c>
      <c r="G19" s="296" t="s">
        <v>439</v>
      </c>
      <c r="H19" s="301"/>
      <c r="I19" s="301"/>
      <c r="J19" s="301"/>
      <c r="K19" s="301"/>
      <c r="L19" s="301"/>
      <c r="M19" s="301"/>
      <c r="N19" s="303"/>
      <c r="O19" s="303"/>
      <c r="P19" s="302"/>
      <c r="Q19" s="302"/>
      <c r="R19" s="301">
        <v>46405</v>
      </c>
      <c r="S19" s="302" t="s">
        <v>805</v>
      </c>
      <c r="T19" s="303" t="s">
        <v>806</v>
      </c>
      <c r="U19" s="302">
        <v>0.41666666666666669</v>
      </c>
      <c r="V19" s="302">
        <v>0.45763888888888887</v>
      </c>
      <c r="W19" s="304">
        <v>46408</v>
      </c>
      <c r="X19" s="305" t="s">
        <v>807</v>
      </c>
      <c r="Y19" s="305" t="s">
        <v>808</v>
      </c>
      <c r="Z19" s="305">
        <v>0.7006944444444444</v>
      </c>
      <c r="AA19" s="305">
        <v>0.74305555555555558</v>
      </c>
      <c r="AB19" s="304"/>
      <c r="AC19" s="314"/>
      <c r="AD19" s="314"/>
      <c r="AE19" s="305"/>
      <c r="AF19" s="305"/>
      <c r="AG19" s="305"/>
      <c r="AH19" s="305"/>
      <c r="AI19" s="305"/>
      <c r="AJ19" s="305"/>
      <c r="AK19" s="305"/>
      <c r="AL19" s="309" t="s">
        <v>457</v>
      </c>
      <c r="AM19" s="315"/>
      <c r="AN19" s="316"/>
      <c r="AO19" s="320">
        <f>SUM(3824)*B19</f>
        <v>26768</v>
      </c>
      <c r="AP19" s="309">
        <f>612*B19</f>
        <v>4284</v>
      </c>
      <c r="AQ19" s="309">
        <f>SUM(1522+1247)*B19</f>
        <v>19383</v>
      </c>
      <c r="AR19" s="309">
        <f>AO19+AP19+AQ19</f>
        <v>50435</v>
      </c>
      <c r="AS19" s="309">
        <f>230*B19</f>
        <v>1610</v>
      </c>
      <c r="AT19" s="309">
        <f>AS19*16%</f>
        <v>257.60000000000002</v>
      </c>
      <c r="AU19" s="311">
        <f>AR19+AS19+AT19</f>
        <v>52302.6</v>
      </c>
    </row>
    <row r="20" spans="2:47" s="281" customFormat="1" ht="12.75" customHeight="1">
      <c r="B20" s="292">
        <v>1</v>
      </c>
      <c r="C20" s="293"/>
      <c r="D20" s="294"/>
      <c r="E20" s="294"/>
      <c r="F20" s="312" t="s">
        <v>483</v>
      </c>
      <c r="G20" s="296"/>
      <c r="H20" s="301"/>
      <c r="I20" s="301"/>
      <c r="J20" s="301"/>
      <c r="K20" s="301"/>
      <c r="L20" s="301"/>
      <c r="M20" s="301">
        <v>46405</v>
      </c>
      <c r="N20" s="303" t="s">
        <v>809</v>
      </c>
      <c r="O20" s="303" t="s">
        <v>486</v>
      </c>
      <c r="P20" s="302">
        <v>0.43402777777777779</v>
      </c>
      <c r="Q20" s="302">
        <v>0.56944444444444442</v>
      </c>
      <c r="R20" s="301">
        <v>46405</v>
      </c>
      <c r="S20" s="302" t="s">
        <v>786</v>
      </c>
      <c r="T20" s="303" t="s">
        <v>787</v>
      </c>
      <c r="U20" s="302">
        <v>0.67361111111111116</v>
      </c>
      <c r="V20" s="302">
        <v>0.73333333333333328</v>
      </c>
      <c r="W20" s="304">
        <v>46408</v>
      </c>
      <c r="X20" s="304" t="s">
        <v>788</v>
      </c>
      <c r="Y20" s="305" t="s">
        <v>789</v>
      </c>
      <c r="Z20" s="305">
        <v>0.43402777777777779</v>
      </c>
      <c r="AA20" s="305">
        <v>0.56944444444444442</v>
      </c>
      <c r="AB20" s="304">
        <v>46408</v>
      </c>
      <c r="AC20" s="314" t="s">
        <v>487</v>
      </c>
      <c r="AD20" s="314" t="s">
        <v>488</v>
      </c>
      <c r="AE20" s="305">
        <v>0.72916666666666663</v>
      </c>
      <c r="AF20" s="305">
        <v>0.79027777777777775</v>
      </c>
      <c r="AG20" s="305"/>
      <c r="AH20" s="305"/>
      <c r="AI20" s="305"/>
      <c r="AJ20" s="305"/>
      <c r="AK20" s="305"/>
      <c r="AL20" s="309" t="s">
        <v>482</v>
      </c>
      <c r="AM20" s="315"/>
      <c r="AN20" s="316"/>
      <c r="AO20" s="309">
        <f>14840*B20</f>
        <v>14840</v>
      </c>
      <c r="AP20" s="309">
        <f>2375*B20</f>
        <v>2375</v>
      </c>
      <c r="AQ20" s="309">
        <f>SUM(1356+2756)*B20</f>
        <v>4112</v>
      </c>
      <c r="AR20" s="309">
        <f>AO20+AP20+AQ20</f>
        <v>21327</v>
      </c>
      <c r="AS20" s="309">
        <f>230*B20</f>
        <v>230</v>
      </c>
      <c r="AT20" s="309">
        <f>AS20*16%</f>
        <v>36.800000000000004</v>
      </c>
      <c r="AU20" s="311">
        <f>AR20+AS20+AT20</f>
        <v>21593.8</v>
      </c>
    </row>
    <row r="21" spans="2:47" s="281" customFormat="1" ht="12.75" customHeight="1">
      <c r="B21" s="292">
        <v>1</v>
      </c>
      <c r="C21" s="293"/>
      <c r="D21" s="294"/>
      <c r="E21" s="294"/>
      <c r="F21" s="312" t="s">
        <v>489</v>
      </c>
      <c r="G21" s="296"/>
      <c r="H21" s="301"/>
      <c r="I21" s="301"/>
      <c r="J21" s="301"/>
      <c r="K21" s="301"/>
      <c r="L21" s="301"/>
      <c r="M21" s="301">
        <v>46405</v>
      </c>
      <c r="N21" s="303" t="s">
        <v>810</v>
      </c>
      <c r="O21" s="303" t="s">
        <v>492</v>
      </c>
      <c r="P21" s="302">
        <v>0.37013888888888891</v>
      </c>
      <c r="Q21" s="302">
        <v>0.4861111111111111</v>
      </c>
      <c r="R21" s="301">
        <v>46405</v>
      </c>
      <c r="S21" s="302" t="s">
        <v>791</v>
      </c>
      <c r="T21" s="303" t="s">
        <v>787</v>
      </c>
      <c r="U21" s="302">
        <v>0.53125</v>
      </c>
      <c r="V21" s="302">
        <v>0.59097222222222223</v>
      </c>
      <c r="W21" s="304">
        <v>46408</v>
      </c>
      <c r="X21" s="304" t="s">
        <v>788</v>
      </c>
      <c r="Y21" s="305" t="s">
        <v>789</v>
      </c>
      <c r="Z21" s="305">
        <v>0.43402777777777779</v>
      </c>
      <c r="AA21" s="305">
        <v>0.56944444444444442</v>
      </c>
      <c r="AB21" s="304">
        <v>46408</v>
      </c>
      <c r="AC21" s="314" t="s">
        <v>494</v>
      </c>
      <c r="AD21" s="314" t="s">
        <v>495</v>
      </c>
      <c r="AE21" s="305">
        <v>0.66666666666666663</v>
      </c>
      <c r="AF21" s="305">
        <v>0.70902777777777781</v>
      </c>
      <c r="AG21" s="305"/>
      <c r="AH21" s="305"/>
      <c r="AI21" s="305"/>
      <c r="AJ21" s="305"/>
      <c r="AK21" s="305"/>
      <c r="AL21" s="309" t="s">
        <v>482</v>
      </c>
      <c r="AM21" s="315"/>
      <c r="AN21" s="316"/>
      <c r="AO21" s="309">
        <f>3822*B21</f>
        <v>3822</v>
      </c>
      <c r="AP21" s="309">
        <f>612*B21</f>
        <v>612</v>
      </c>
      <c r="AQ21" s="309">
        <f>SUM(2530+1600)*B21</f>
        <v>4130</v>
      </c>
      <c r="AR21" s="309">
        <f>AO21+AP21+AQ21</f>
        <v>8564</v>
      </c>
      <c r="AS21" s="309">
        <f>230*B21</f>
        <v>230</v>
      </c>
      <c r="AT21" s="309">
        <f>AS21*16%</f>
        <v>36.800000000000004</v>
      </c>
      <c r="AU21" s="311">
        <f>AR21+AS21+AT21</f>
        <v>8830.7999999999993</v>
      </c>
    </row>
    <row r="22" spans="2:47" s="281" customFormat="1" ht="12.75" customHeight="1">
      <c r="B22" s="292">
        <v>1</v>
      </c>
      <c r="C22" s="293"/>
      <c r="D22" s="294"/>
      <c r="E22" s="294"/>
      <c r="F22" s="312" t="s">
        <v>496</v>
      </c>
      <c r="G22" s="296"/>
      <c r="H22" s="298">
        <v>46404</v>
      </c>
      <c r="I22" s="303" t="s">
        <v>497</v>
      </c>
      <c r="J22" s="303" t="s">
        <v>498</v>
      </c>
      <c r="K22" s="300">
        <v>0.625</v>
      </c>
      <c r="L22" s="300">
        <v>0.79166666666666663</v>
      </c>
      <c r="M22" s="301">
        <v>46405</v>
      </c>
      <c r="N22" s="303" t="s">
        <v>811</v>
      </c>
      <c r="O22" s="303" t="s">
        <v>500</v>
      </c>
      <c r="P22" s="302">
        <v>0.37152777777777779</v>
      </c>
      <c r="Q22" s="302">
        <v>0.44444444444444442</v>
      </c>
      <c r="R22" s="301">
        <v>46405</v>
      </c>
      <c r="S22" s="302" t="s">
        <v>791</v>
      </c>
      <c r="T22" s="303" t="s">
        <v>787</v>
      </c>
      <c r="U22" s="302">
        <v>0.53125</v>
      </c>
      <c r="V22" s="302">
        <v>0.59097222222222223</v>
      </c>
      <c r="W22" s="304">
        <v>46408</v>
      </c>
      <c r="X22" s="305" t="s">
        <v>788</v>
      </c>
      <c r="Y22" s="305" t="s">
        <v>789</v>
      </c>
      <c r="Z22" s="305">
        <v>0.43402777777777779</v>
      </c>
      <c r="AA22" s="305">
        <v>0.56944444444444442</v>
      </c>
      <c r="AB22" s="304">
        <v>46408</v>
      </c>
      <c r="AC22" s="314" t="s">
        <v>501</v>
      </c>
      <c r="AD22" s="314" t="s">
        <v>502</v>
      </c>
      <c r="AE22" s="305">
        <v>0.62847222222222221</v>
      </c>
      <c r="AF22" s="305">
        <v>0.70625000000000004</v>
      </c>
      <c r="AG22" s="322">
        <v>46409</v>
      </c>
      <c r="AH22" s="305" t="s">
        <v>497</v>
      </c>
      <c r="AI22" s="305" t="s">
        <v>503</v>
      </c>
      <c r="AJ22" s="305">
        <v>0.375</v>
      </c>
      <c r="AK22" s="305">
        <v>0.57777777777777772</v>
      </c>
      <c r="AL22" s="319" t="s">
        <v>504</v>
      </c>
      <c r="AM22" s="315"/>
      <c r="AN22" s="316"/>
      <c r="AO22" s="320">
        <f>SUM(3832)*B22</f>
        <v>3832</v>
      </c>
      <c r="AP22" s="309">
        <f>614*B22</f>
        <v>614</v>
      </c>
      <c r="AQ22" s="309">
        <f>SUM(2530+1600+878)*B22</f>
        <v>5008</v>
      </c>
      <c r="AR22" s="309">
        <f>AO22+AP22+AQ22</f>
        <v>9454</v>
      </c>
      <c r="AS22" s="309">
        <f>230*B22</f>
        <v>230</v>
      </c>
      <c r="AT22" s="309">
        <f>AS22*16%</f>
        <v>36.800000000000004</v>
      </c>
      <c r="AU22" s="311">
        <f>AR22+AS22+AT22</f>
        <v>9720.7999999999993</v>
      </c>
    </row>
    <row r="23" spans="2:47" s="281" customFormat="1" ht="12.75" customHeight="1">
      <c r="B23" s="292">
        <f>35+6</f>
        <v>41</v>
      </c>
      <c r="C23" s="293"/>
      <c r="D23" s="294"/>
      <c r="E23" s="294"/>
      <c r="F23" s="312" t="s">
        <v>505</v>
      </c>
      <c r="G23" s="296" t="s">
        <v>812</v>
      </c>
      <c r="H23" s="301"/>
      <c r="I23" s="301"/>
      <c r="J23" s="301"/>
      <c r="K23" s="301"/>
      <c r="L23" s="301"/>
      <c r="M23" s="301"/>
      <c r="N23" s="303"/>
      <c r="O23" s="303"/>
      <c r="P23" s="302"/>
      <c r="Q23" s="302"/>
      <c r="R23" s="301">
        <v>46405</v>
      </c>
      <c r="S23" s="302" t="s">
        <v>813</v>
      </c>
      <c r="T23" s="303" t="s">
        <v>814</v>
      </c>
      <c r="U23" s="302">
        <v>0.31944444444444442</v>
      </c>
      <c r="V23" s="302">
        <v>0.3659722222222222</v>
      </c>
      <c r="W23" s="304">
        <v>46408</v>
      </c>
      <c r="X23" s="305" t="s">
        <v>815</v>
      </c>
      <c r="Y23" s="305" t="s">
        <v>816</v>
      </c>
      <c r="Z23" s="305">
        <v>0.3923611111111111</v>
      </c>
      <c r="AA23" s="305">
        <v>0.51736111111111116</v>
      </c>
      <c r="AB23" s="304"/>
      <c r="AC23" s="314"/>
      <c r="AD23" s="314"/>
      <c r="AE23" s="305"/>
      <c r="AF23" s="305"/>
      <c r="AG23" s="305"/>
      <c r="AH23" s="305"/>
      <c r="AI23" s="305"/>
      <c r="AJ23" s="305"/>
      <c r="AK23" s="305"/>
      <c r="AL23" s="319" t="s">
        <v>444</v>
      </c>
      <c r="AM23" s="315"/>
      <c r="AN23" s="316"/>
      <c r="AO23" s="320">
        <f>3620*B23</f>
        <v>148420</v>
      </c>
      <c r="AP23" s="309">
        <f>580*B23</f>
        <v>23780</v>
      </c>
      <c r="AQ23" s="309">
        <f>999*B23</f>
        <v>40959</v>
      </c>
      <c r="AR23" s="309">
        <f>AO23+AP23+AQ23</f>
        <v>213159</v>
      </c>
      <c r="AS23" s="309">
        <f>230*B23</f>
        <v>9430</v>
      </c>
      <c r="AT23" s="309">
        <f>AS23*16%</f>
        <v>1508.8</v>
      </c>
      <c r="AU23" s="311">
        <f>AR23+AS23+AT23</f>
        <v>224097.8</v>
      </c>
    </row>
    <row r="24" spans="2:47" s="281" customFormat="1" ht="12.75" customHeight="1">
      <c r="B24" s="292">
        <v>4</v>
      </c>
      <c r="C24" s="293"/>
      <c r="D24" s="294"/>
      <c r="E24" s="294"/>
      <c r="F24" s="312" t="s">
        <v>510</v>
      </c>
      <c r="G24" s="296"/>
      <c r="H24" s="301"/>
      <c r="I24" s="301"/>
      <c r="J24" s="301"/>
      <c r="K24" s="301"/>
      <c r="L24" s="301"/>
      <c r="M24" s="301"/>
      <c r="N24" s="303"/>
      <c r="O24" s="303"/>
      <c r="P24" s="302"/>
      <c r="Q24" s="302"/>
      <c r="R24" s="301">
        <v>46405</v>
      </c>
      <c r="S24" s="302" t="s">
        <v>813</v>
      </c>
      <c r="T24" s="303" t="s">
        <v>814</v>
      </c>
      <c r="U24" s="302">
        <v>0.31944444444444442</v>
      </c>
      <c r="V24" s="302">
        <v>0.3659722222222222</v>
      </c>
      <c r="W24" s="304">
        <v>46408</v>
      </c>
      <c r="X24" s="305" t="s">
        <v>815</v>
      </c>
      <c r="Y24" s="305" t="s">
        <v>816</v>
      </c>
      <c r="Z24" s="305">
        <v>0.3923611111111111</v>
      </c>
      <c r="AA24" s="305">
        <v>0.51736111111111116</v>
      </c>
      <c r="AB24" s="304"/>
      <c r="AC24" s="314"/>
      <c r="AD24" s="314"/>
      <c r="AE24" s="305"/>
      <c r="AF24" s="305"/>
      <c r="AG24" s="305"/>
      <c r="AH24" s="305"/>
      <c r="AI24" s="305"/>
      <c r="AJ24" s="305"/>
      <c r="AK24" s="305"/>
      <c r="AL24" s="319" t="s">
        <v>444</v>
      </c>
      <c r="AM24" s="315"/>
      <c r="AN24" s="316"/>
      <c r="AO24" s="320">
        <f>3620*B24</f>
        <v>14480</v>
      </c>
      <c r="AP24" s="309">
        <f>580*B24</f>
        <v>2320</v>
      </c>
      <c r="AQ24" s="309">
        <f>999*B24</f>
        <v>3996</v>
      </c>
      <c r="AR24" s="309">
        <f>AO24+AP24+AQ24</f>
        <v>20796</v>
      </c>
      <c r="AS24" s="309">
        <f>230*B24</f>
        <v>920</v>
      </c>
      <c r="AT24" s="309">
        <f>AS24*16%</f>
        <v>147.20000000000002</v>
      </c>
      <c r="AU24" s="311">
        <f>AR24+AS24+AT24</f>
        <v>21863.200000000001</v>
      </c>
    </row>
    <row r="25" spans="2:47" s="281" customFormat="1" ht="12.75" customHeight="1">
      <c r="B25" s="292">
        <v>10</v>
      </c>
      <c r="C25" s="293"/>
      <c r="D25" s="294"/>
      <c r="E25" s="294"/>
      <c r="F25" s="312" t="s">
        <v>512</v>
      </c>
      <c r="G25" s="296"/>
      <c r="H25" s="301"/>
      <c r="I25" s="301"/>
      <c r="J25" s="301"/>
      <c r="K25" s="301"/>
      <c r="L25" s="301"/>
      <c r="M25" s="301">
        <v>46405</v>
      </c>
      <c r="N25" s="303" t="s">
        <v>817</v>
      </c>
      <c r="O25" s="303" t="s">
        <v>818</v>
      </c>
      <c r="P25" s="302">
        <v>0.40694444444444444</v>
      </c>
      <c r="Q25" s="302">
        <v>0.49652777777777779</v>
      </c>
      <c r="R25" s="301">
        <v>46405</v>
      </c>
      <c r="S25" s="302" t="s">
        <v>791</v>
      </c>
      <c r="T25" s="303" t="s">
        <v>787</v>
      </c>
      <c r="U25" s="302">
        <v>0.53125</v>
      </c>
      <c r="V25" s="302">
        <v>0.59097222222222223</v>
      </c>
      <c r="W25" s="304">
        <v>46408</v>
      </c>
      <c r="X25" s="305" t="s">
        <v>794</v>
      </c>
      <c r="Y25" s="305" t="s">
        <v>789</v>
      </c>
      <c r="Z25" s="305">
        <v>0.60763888888888884</v>
      </c>
      <c r="AA25" s="305">
        <v>0.74652777777777779</v>
      </c>
      <c r="AB25" s="304">
        <v>46408</v>
      </c>
      <c r="AC25" s="314" t="s">
        <v>819</v>
      </c>
      <c r="AD25" s="314" t="s">
        <v>820</v>
      </c>
      <c r="AE25" s="305">
        <v>0.78819444444444442</v>
      </c>
      <c r="AF25" s="305">
        <v>0.86875000000000002</v>
      </c>
      <c r="AG25" s="305"/>
      <c r="AH25" s="305"/>
      <c r="AI25" s="305"/>
      <c r="AJ25" s="305"/>
      <c r="AK25" s="305"/>
      <c r="AL25" s="319" t="s">
        <v>482</v>
      </c>
      <c r="AM25" s="315"/>
      <c r="AN25" s="316"/>
      <c r="AO25" s="320">
        <f>7100*B25</f>
        <v>71000</v>
      </c>
      <c r="AP25" s="309">
        <f>SUM(1136)*B25</f>
        <v>11360</v>
      </c>
      <c r="AQ25" s="309">
        <f>SUM(2410+1600)*B25</f>
        <v>40100</v>
      </c>
      <c r="AR25" s="309">
        <f>AO25+AP25+AQ25</f>
        <v>122460</v>
      </c>
      <c r="AS25" s="309">
        <f>230*B25</f>
        <v>2300</v>
      </c>
      <c r="AT25" s="309">
        <f>AS25*16%</f>
        <v>368</v>
      </c>
      <c r="AU25" s="311">
        <f>AR25+AS25+AT25</f>
        <v>125128</v>
      </c>
    </row>
    <row r="26" spans="2:47" s="281" customFormat="1" ht="12.75" customHeight="1">
      <c r="B26" s="292">
        <v>1</v>
      </c>
      <c r="C26" s="293"/>
      <c r="D26" s="294"/>
      <c r="E26" s="294"/>
      <c r="F26" s="312" t="s">
        <v>518</v>
      </c>
      <c r="G26" s="296"/>
      <c r="H26" s="298">
        <v>46404</v>
      </c>
      <c r="I26" s="303" t="s">
        <v>497</v>
      </c>
      <c r="J26" s="303" t="s">
        <v>519</v>
      </c>
      <c r="K26" s="302">
        <v>0.70833333333333337</v>
      </c>
      <c r="L26" s="300">
        <v>0.83333333333333337</v>
      </c>
      <c r="M26" s="301">
        <v>46405</v>
      </c>
      <c r="N26" s="303" t="s">
        <v>811</v>
      </c>
      <c r="O26" s="303" t="s">
        <v>500</v>
      </c>
      <c r="P26" s="302">
        <v>0.37152777777777779</v>
      </c>
      <c r="Q26" s="302">
        <v>0.44444444444444442</v>
      </c>
      <c r="R26" s="301">
        <v>46405</v>
      </c>
      <c r="S26" s="302" t="s">
        <v>791</v>
      </c>
      <c r="T26" s="303" t="s">
        <v>787</v>
      </c>
      <c r="U26" s="302">
        <v>0.53125</v>
      </c>
      <c r="V26" s="302">
        <v>0.59097222222222223</v>
      </c>
      <c r="W26" s="304">
        <v>46408</v>
      </c>
      <c r="X26" s="305" t="s">
        <v>788</v>
      </c>
      <c r="Y26" s="305" t="s">
        <v>789</v>
      </c>
      <c r="Z26" s="305">
        <v>0.43402777777777779</v>
      </c>
      <c r="AA26" s="305">
        <v>0.56944444444444442</v>
      </c>
      <c r="AB26" s="304">
        <v>46408</v>
      </c>
      <c r="AC26" s="314" t="s">
        <v>501</v>
      </c>
      <c r="AD26" s="314" t="s">
        <v>502</v>
      </c>
      <c r="AE26" s="305">
        <v>0.62847222222222221</v>
      </c>
      <c r="AF26" s="305">
        <v>0.70625000000000004</v>
      </c>
      <c r="AG26" s="322">
        <v>46409</v>
      </c>
      <c r="AH26" s="305" t="s">
        <v>497</v>
      </c>
      <c r="AI26" s="305" t="s">
        <v>520</v>
      </c>
      <c r="AJ26" s="305">
        <v>0.375</v>
      </c>
      <c r="AK26" s="305">
        <v>0.59861111111111109</v>
      </c>
      <c r="AL26" s="319" t="s">
        <v>504</v>
      </c>
      <c r="AM26" s="315"/>
      <c r="AN26" s="316"/>
      <c r="AO26" s="320">
        <f>SUM(3832)*B26</f>
        <v>3832</v>
      </c>
      <c r="AP26" s="309">
        <f>614*B26</f>
        <v>614</v>
      </c>
      <c r="AQ26" s="309">
        <f>SUM(2530+1600+993.5)*B26</f>
        <v>5123.5</v>
      </c>
      <c r="AR26" s="309">
        <f>AO26+AP26+AQ26</f>
        <v>9569.5</v>
      </c>
      <c r="AS26" s="309">
        <f>230*B26</f>
        <v>230</v>
      </c>
      <c r="AT26" s="309">
        <f>AS26*16%</f>
        <v>36.800000000000004</v>
      </c>
      <c r="AU26" s="311">
        <f>AR26+AS26+AT26</f>
        <v>9836.2999999999993</v>
      </c>
    </row>
    <row r="27" spans="2:47" s="281" customFormat="1" ht="12.75" customHeight="1">
      <c r="B27" s="292">
        <v>29</v>
      </c>
      <c r="C27" s="293"/>
      <c r="D27" s="294"/>
      <c r="E27" s="294"/>
      <c r="F27" s="312" t="s">
        <v>521</v>
      </c>
      <c r="G27" s="296"/>
      <c r="H27" s="301"/>
      <c r="I27" s="301"/>
      <c r="J27" s="301"/>
      <c r="K27" s="301"/>
      <c r="L27" s="301"/>
      <c r="M27" s="301"/>
      <c r="N27" s="303"/>
      <c r="O27" s="303"/>
      <c r="P27" s="302"/>
      <c r="Q27" s="302"/>
      <c r="R27" s="301">
        <v>46405</v>
      </c>
      <c r="S27" s="303" t="s">
        <v>821</v>
      </c>
      <c r="T27" s="303" t="s">
        <v>822</v>
      </c>
      <c r="U27" s="302">
        <v>0.41875000000000001</v>
      </c>
      <c r="V27" s="302">
        <v>0.44097222222222221</v>
      </c>
      <c r="W27" s="304">
        <v>46408</v>
      </c>
      <c r="X27" s="305" t="s">
        <v>823</v>
      </c>
      <c r="Y27" s="305" t="s">
        <v>824</v>
      </c>
      <c r="Z27" s="305">
        <v>0.46875</v>
      </c>
      <c r="AA27" s="305">
        <v>0.57430555555555551</v>
      </c>
      <c r="AB27" s="313"/>
      <c r="AC27" s="314"/>
      <c r="AD27" s="314"/>
      <c r="AE27" s="305"/>
      <c r="AF27" s="305"/>
      <c r="AG27" s="305"/>
      <c r="AH27" s="305"/>
      <c r="AI27" s="305"/>
      <c r="AJ27" s="305"/>
      <c r="AK27" s="305"/>
      <c r="AL27" s="319" t="s">
        <v>457</v>
      </c>
      <c r="AM27" s="315"/>
      <c r="AN27" s="316"/>
      <c r="AO27" s="320">
        <f>3800*B27</f>
        <v>110200</v>
      </c>
      <c r="AP27" s="309">
        <f>608*B27</f>
        <v>17632</v>
      </c>
      <c r="AQ27" s="309">
        <f>SUM(1319+1234)*B27</f>
        <v>74037</v>
      </c>
      <c r="AR27" s="309">
        <f>AO27+AP27+AQ27</f>
        <v>201869</v>
      </c>
      <c r="AS27" s="309">
        <f>230*B27</f>
        <v>6670</v>
      </c>
      <c r="AT27" s="309">
        <f>AS27*16%</f>
        <v>1067.2</v>
      </c>
      <c r="AU27" s="311">
        <f>AR27+AS27+AT27</f>
        <v>209606.2</v>
      </c>
    </row>
    <row r="28" spans="2:47" s="281" customFormat="1" ht="12.75" customHeight="1">
      <c r="B28" s="292">
        <v>6</v>
      </c>
      <c r="C28" s="293"/>
      <c r="D28" s="294"/>
      <c r="E28" s="294"/>
      <c r="F28" s="312" t="s">
        <v>526</v>
      </c>
      <c r="G28" s="296"/>
      <c r="H28" s="301"/>
      <c r="I28" s="301"/>
      <c r="J28" s="301"/>
      <c r="K28" s="300"/>
      <c r="L28" s="300"/>
      <c r="M28" s="301">
        <v>46405</v>
      </c>
      <c r="N28" s="301" t="s">
        <v>527</v>
      </c>
      <c r="O28" s="301" t="s">
        <v>528</v>
      </c>
      <c r="P28" s="300">
        <v>0.25347222222222221</v>
      </c>
      <c r="Q28" s="300">
        <v>0.40625</v>
      </c>
      <c r="R28" s="301">
        <v>46405</v>
      </c>
      <c r="S28" s="302" t="s">
        <v>791</v>
      </c>
      <c r="T28" s="303" t="s">
        <v>787</v>
      </c>
      <c r="U28" s="302">
        <v>0.53125</v>
      </c>
      <c r="V28" s="302">
        <v>0.59097222222222223</v>
      </c>
      <c r="W28" s="304">
        <v>46408</v>
      </c>
      <c r="X28" s="305" t="s">
        <v>788</v>
      </c>
      <c r="Y28" s="305" t="s">
        <v>789</v>
      </c>
      <c r="Z28" s="305">
        <v>0.43402777777777779</v>
      </c>
      <c r="AA28" s="305">
        <v>0.56944444444444442</v>
      </c>
      <c r="AB28" s="304">
        <v>46408</v>
      </c>
      <c r="AC28" s="314" t="s">
        <v>825</v>
      </c>
      <c r="AD28" s="305" t="s">
        <v>531</v>
      </c>
      <c r="AE28" s="305">
        <v>0.625</v>
      </c>
      <c r="AF28" s="305">
        <v>0.71527777777777779</v>
      </c>
      <c r="AG28" s="305"/>
      <c r="AH28" s="305"/>
      <c r="AI28" s="305"/>
      <c r="AJ28" s="305"/>
      <c r="AK28" s="305"/>
      <c r="AL28" s="309" t="s">
        <v>482</v>
      </c>
      <c r="AM28" s="315"/>
      <c r="AN28" s="316"/>
      <c r="AO28" s="309">
        <f>3830*B28</f>
        <v>22980</v>
      </c>
      <c r="AP28" s="309">
        <f>613*B28</f>
        <v>3678</v>
      </c>
      <c r="AQ28" s="309">
        <f>SUM(1349+1600)*B28</f>
        <v>17694</v>
      </c>
      <c r="AR28" s="309">
        <f>AO28+AP28+AQ28</f>
        <v>44352</v>
      </c>
      <c r="AS28" s="309">
        <f>230*B28</f>
        <v>1380</v>
      </c>
      <c r="AT28" s="309">
        <f>AS28*16%</f>
        <v>220.8</v>
      </c>
      <c r="AU28" s="311">
        <f>AR28+AS28+AT28</f>
        <v>45952.800000000003</v>
      </c>
    </row>
    <row r="29" spans="2:47" s="281" customFormat="1" ht="12.75" customHeight="1">
      <c r="B29" s="292">
        <v>2</v>
      </c>
      <c r="C29" s="293"/>
      <c r="D29" s="294"/>
      <c r="E29" s="294"/>
      <c r="F29" s="312" t="s">
        <v>532</v>
      </c>
      <c r="G29" s="317"/>
      <c r="H29" s="301"/>
      <c r="I29" s="301"/>
      <c r="J29" s="301"/>
      <c r="K29" s="301"/>
      <c r="L29" s="301"/>
      <c r="M29" s="301">
        <v>46405</v>
      </c>
      <c r="N29" s="303" t="s">
        <v>793</v>
      </c>
      <c r="O29" s="303" t="s">
        <v>649</v>
      </c>
      <c r="P29" s="302">
        <v>0.32916666666666666</v>
      </c>
      <c r="Q29" s="302">
        <v>0.37847222222222221</v>
      </c>
      <c r="R29" s="301">
        <v>46405</v>
      </c>
      <c r="S29" s="302" t="s">
        <v>791</v>
      </c>
      <c r="T29" s="303" t="s">
        <v>787</v>
      </c>
      <c r="U29" s="302">
        <v>0.53125</v>
      </c>
      <c r="V29" s="302">
        <v>0.59097222222222223</v>
      </c>
      <c r="W29" s="304">
        <v>46408</v>
      </c>
      <c r="X29" s="305" t="s">
        <v>794</v>
      </c>
      <c r="Y29" s="305" t="s">
        <v>789</v>
      </c>
      <c r="Z29" s="305">
        <v>0.60763888888888884</v>
      </c>
      <c r="AA29" s="305">
        <v>0.74652777777777779</v>
      </c>
      <c r="AB29" s="304">
        <v>46408</v>
      </c>
      <c r="AC29" s="314" t="s">
        <v>795</v>
      </c>
      <c r="AD29" s="314" t="s">
        <v>651</v>
      </c>
      <c r="AE29" s="305">
        <v>0.81944444444444442</v>
      </c>
      <c r="AF29" s="305">
        <v>0.86875000000000002</v>
      </c>
      <c r="AG29" s="305"/>
      <c r="AH29" s="305"/>
      <c r="AI29" s="305"/>
      <c r="AJ29" s="305"/>
      <c r="AK29" s="305"/>
      <c r="AL29" s="309" t="s">
        <v>482</v>
      </c>
      <c r="AM29" s="315"/>
      <c r="AN29" s="316"/>
      <c r="AO29" s="309">
        <f>5728*B29</f>
        <v>11456</v>
      </c>
      <c r="AP29" s="309">
        <f>917*B29</f>
        <v>1834</v>
      </c>
      <c r="AQ29" s="309">
        <f>SUM(1310+1600)*B29</f>
        <v>5820</v>
      </c>
      <c r="AR29" s="309">
        <f>AO29+AP29+AQ29</f>
        <v>19110</v>
      </c>
      <c r="AS29" s="309">
        <f>230*B29</f>
        <v>460</v>
      </c>
      <c r="AT29" s="309">
        <f>AS29*16%</f>
        <v>73.600000000000009</v>
      </c>
      <c r="AU29" s="311">
        <f>AR29+AS29+AT29</f>
        <v>19643.599999999999</v>
      </c>
    </row>
    <row r="30" spans="2:47" s="281" customFormat="1" ht="12.75" customHeight="1">
      <c r="B30" s="292">
        <v>8</v>
      </c>
      <c r="C30" s="293"/>
      <c r="D30" s="294"/>
      <c r="E30" s="294"/>
      <c r="F30" s="312" t="s">
        <v>533</v>
      </c>
      <c r="G30" s="317"/>
      <c r="H30" s="301"/>
      <c r="I30" s="301"/>
      <c r="J30" s="301"/>
      <c r="K30" s="301"/>
      <c r="L30" s="301"/>
      <c r="M30" s="301">
        <v>46405</v>
      </c>
      <c r="N30" s="303" t="s">
        <v>793</v>
      </c>
      <c r="O30" s="303" t="s">
        <v>649</v>
      </c>
      <c r="P30" s="302">
        <v>0.32916666666666666</v>
      </c>
      <c r="Q30" s="302">
        <v>0.37847222222222221</v>
      </c>
      <c r="R30" s="301">
        <v>46405</v>
      </c>
      <c r="S30" s="302" t="s">
        <v>791</v>
      </c>
      <c r="T30" s="303" t="s">
        <v>787</v>
      </c>
      <c r="U30" s="302">
        <v>0.53125</v>
      </c>
      <c r="V30" s="302">
        <v>0.59097222222222223</v>
      </c>
      <c r="W30" s="304">
        <v>46408</v>
      </c>
      <c r="X30" s="305" t="s">
        <v>794</v>
      </c>
      <c r="Y30" s="305" t="s">
        <v>789</v>
      </c>
      <c r="Z30" s="305">
        <v>0.60763888888888884</v>
      </c>
      <c r="AA30" s="305">
        <v>0.74652777777777779</v>
      </c>
      <c r="AB30" s="304">
        <v>46408</v>
      </c>
      <c r="AC30" s="314" t="s">
        <v>795</v>
      </c>
      <c r="AD30" s="314" t="s">
        <v>651</v>
      </c>
      <c r="AE30" s="305">
        <v>0.81944444444444442</v>
      </c>
      <c r="AF30" s="305">
        <v>0.86875000000000002</v>
      </c>
      <c r="AG30" s="305"/>
      <c r="AH30" s="305"/>
      <c r="AI30" s="305"/>
      <c r="AJ30" s="305"/>
      <c r="AK30" s="305"/>
      <c r="AL30" s="309" t="s">
        <v>482</v>
      </c>
      <c r="AM30" s="315"/>
      <c r="AN30" s="316"/>
      <c r="AO30" s="309">
        <f>5728*B30</f>
        <v>45824</v>
      </c>
      <c r="AP30" s="309">
        <f>917*B30</f>
        <v>7336</v>
      </c>
      <c r="AQ30" s="309">
        <f>SUM(1310+1600)*B30</f>
        <v>23280</v>
      </c>
      <c r="AR30" s="309">
        <f>AO30+AP30+AQ30</f>
        <v>76440</v>
      </c>
      <c r="AS30" s="309">
        <f>230*B30</f>
        <v>1840</v>
      </c>
      <c r="AT30" s="309">
        <f>AS30*16%</f>
        <v>294.40000000000003</v>
      </c>
      <c r="AU30" s="311">
        <f>AR30+AS30+AT30</f>
        <v>78574.399999999994</v>
      </c>
    </row>
    <row r="31" spans="2:47" s="281" customFormat="1" ht="12.75" customHeight="1">
      <c r="B31" s="292">
        <v>5</v>
      </c>
      <c r="C31" s="293"/>
      <c r="D31" s="294"/>
      <c r="E31" s="294"/>
      <c r="F31" s="312" t="s">
        <v>534</v>
      </c>
      <c r="G31" s="296"/>
      <c r="H31" s="301"/>
      <c r="I31" s="301"/>
      <c r="J31" s="301"/>
      <c r="K31" s="301"/>
      <c r="L31" s="301"/>
      <c r="M31" s="301">
        <v>46405</v>
      </c>
      <c r="N31" s="303" t="s">
        <v>826</v>
      </c>
      <c r="O31" s="323" t="s">
        <v>537</v>
      </c>
      <c r="P31" s="302">
        <v>0.25138888888888888</v>
      </c>
      <c r="Q31" s="302">
        <v>0.47569444444444442</v>
      </c>
      <c r="R31" s="301">
        <v>46405</v>
      </c>
      <c r="S31" s="302" t="s">
        <v>791</v>
      </c>
      <c r="T31" s="303" t="s">
        <v>787</v>
      </c>
      <c r="U31" s="302">
        <v>0.53125</v>
      </c>
      <c r="V31" s="302">
        <v>0.59097222222222223</v>
      </c>
      <c r="W31" s="304">
        <v>46408</v>
      </c>
      <c r="X31" s="305" t="s">
        <v>827</v>
      </c>
      <c r="Y31" s="305" t="s">
        <v>828</v>
      </c>
      <c r="Z31" s="305">
        <v>0.69027777777777777</v>
      </c>
      <c r="AA31" s="305">
        <v>0.7319444444444444</v>
      </c>
      <c r="AB31" s="313"/>
      <c r="AC31" s="314"/>
      <c r="AD31" s="314"/>
      <c r="AE31" s="305"/>
      <c r="AF31" s="305"/>
      <c r="AG31" s="305"/>
      <c r="AH31" s="305"/>
      <c r="AI31" s="305"/>
      <c r="AJ31" s="305"/>
      <c r="AK31" s="305"/>
      <c r="AL31" s="319" t="s">
        <v>829</v>
      </c>
      <c r="AM31" s="315"/>
      <c r="AN31" s="316"/>
      <c r="AO31" s="309">
        <f>SUM(2790+2990)*B31</f>
        <v>28900</v>
      </c>
      <c r="AP31" s="309">
        <f>SUM(447+479)*B31</f>
        <v>4630</v>
      </c>
      <c r="AQ31" s="309">
        <f>SUM(612+800+655+653)*B31</f>
        <v>13600</v>
      </c>
      <c r="AR31" s="309">
        <f>AO31+AP31+AQ31</f>
        <v>47130</v>
      </c>
      <c r="AS31" s="309">
        <f>230*B31</f>
        <v>1150</v>
      </c>
      <c r="AT31" s="309">
        <f>AS31*16%</f>
        <v>184</v>
      </c>
      <c r="AU31" s="311">
        <f>AR31+AS31+AT31</f>
        <v>48464</v>
      </c>
    </row>
    <row r="32" spans="2:47" s="281" customFormat="1" ht="12.75" customHeight="1">
      <c r="B32" s="292">
        <v>27</v>
      </c>
      <c r="C32" s="293"/>
      <c r="D32" s="294"/>
      <c r="E32" s="294"/>
      <c r="F32" s="312" t="s">
        <v>541</v>
      </c>
      <c r="G32" s="296" t="s">
        <v>830</v>
      </c>
      <c r="H32" s="301"/>
      <c r="I32" s="301"/>
      <c r="J32" s="301"/>
      <c r="K32" s="301"/>
      <c r="L32" s="301"/>
      <c r="M32" s="301"/>
      <c r="N32" s="303"/>
      <c r="O32" s="323"/>
      <c r="P32" s="302"/>
      <c r="Q32" s="302"/>
      <c r="R32" s="301">
        <v>46405</v>
      </c>
      <c r="S32" s="302" t="s">
        <v>831</v>
      </c>
      <c r="T32" s="303" t="s">
        <v>832</v>
      </c>
      <c r="U32" s="302">
        <v>0.48055555555555557</v>
      </c>
      <c r="V32" s="302">
        <v>0.52222222222222225</v>
      </c>
      <c r="W32" s="304">
        <v>46408</v>
      </c>
      <c r="X32" s="305" t="s">
        <v>833</v>
      </c>
      <c r="Y32" s="305" t="s">
        <v>834</v>
      </c>
      <c r="Z32" s="305">
        <v>0.37013888888888891</v>
      </c>
      <c r="AA32" s="305">
        <v>0.61250000000000004</v>
      </c>
      <c r="AB32" s="313"/>
      <c r="AC32" s="314"/>
      <c r="AD32" s="314"/>
      <c r="AE32" s="305"/>
      <c r="AF32" s="305"/>
      <c r="AG32" s="305"/>
      <c r="AH32" s="305"/>
      <c r="AI32" s="305"/>
      <c r="AJ32" s="305"/>
      <c r="AK32" s="305"/>
      <c r="AL32" s="319" t="s">
        <v>444</v>
      </c>
      <c r="AM32" s="315"/>
      <c r="AN32" s="316"/>
      <c r="AO32" s="309">
        <f>3610*B32</f>
        <v>97470</v>
      </c>
      <c r="AP32" s="309">
        <f>578*B32</f>
        <v>15606</v>
      </c>
      <c r="AQ32" s="309">
        <f>SUM(1445)*B32</f>
        <v>39015</v>
      </c>
      <c r="AR32" s="309">
        <f>AO32+AP32+AQ32</f>
        <v>152091</v>
      </c>
      <c r="AS32" s="309">
        <f>230*B32</f>
        <v>6210</v>
      </c>
      <c r="AT32" s="309">
        <f>AS32*16%</f>
        <v>993.6</v>
      </c>
      <c r="AU32" s="311">
        <f>AR32+AS32+AT32</f>
        <v>159294.6</v>
      </c>
    </row>
    <row r="33" spans="2:47" s="281" customFormat="1" ht="12.75" customHeight="1">
      <c r="B33" s="292">
        <v>12</v>
      </c>
      <c r="C33" s="293"/>
      <c r="D33" s="294"/>
      <c r="E33" s="294"/>
      <c r="F33" s="312" t="s">
        <v>546</v>
      </c>
      <c r="G33" s="296"/>
      <c r="H33" s="301"/>
      <c r="I33" s="301"/>
      <c r="J33" s="301"/>
      <c r="K33" s="301"/>
      <c r="L33" s="301"/>
      <c r="M33" s="301">
        <v>46405</v>
      </c>
      <c r="N33" s="303" t="s">
        <v>835</v>
      </c>
      <c r="O33" s="323" t="s">
        <v>717</v>
      </c>
      <c r="P33" s="302">
        <v>0.25277777777777777</v>
      </c>
      <c r="Q33" s="302">
        <v>0.30208333333333331</v>
      </c>
      <c r="R33" s="301">
        <v>46405</v>
      </c>
      <c r="S33" s="302" t="s">
        <v>836</v>
      </c>
      <c r="T33" s="303" t="s">
        <v>787</v>
      </c>
      <c r="U33" s="302">
        <v>0.33680555555555558</v>
      </c>
      <c r="V33" s="302">
        <v>0.3972222222222222</v>
      </c>
      <c r="W33" s="304">
        <v>46408</v>
      </c>
      <c r="X33" s="305" t="s">
        <v>804</v>
      </c>
      <c r="Y33" s="305" t="s">
        <v>789</v>
      </c>
      <c r="Z33" s="305">
        <v>0.25347222222222221</v>
      </c>
      <c r="AA33" s="305">
        <v>0.3888888888888889</v>
      </c>
      <c r="AB33" s="304">
        <v>46408</v>
      </c>
      <c r="AC33" s="314" t="s">
        <v>718</v>
      </c>
      <c r="AD33" s="314" t="s">
        <v>719</v>
      </c>
      <c r="AE33" s="305">
        <v>0.54166666666666663</v>
      </c>
      <c r="AF33" s="305">
        <v>0.59097222222222223</v>
      </c>
      <c r="AG33" s="305"/>
      <c r="AH33" s="305"/>
      <c r="AI33" s="305"/>
      <c r="AJ33" s="305"/>
      <c r="AK33" s="305"/>
      <c r="AL33" s="319" t="s">
        <v>482</v>
      </c>
      <c r="AM33" s="315"/>
      <c r="AN33" s="316"/>
      <c r="AO33" s="309">
        <f>5598*B33</f>
        <v>67176</v>
      </c>
      <c r="AP33" s="309">
        <f>896*B33</f>
        <v>10752</v>
      </c>
      <c r="AQ33" s="309">
        <f>SUM(1320+1800)*B33</f>
        <v>37440</v>
      </c>
      <c r="AR33" s="309">
        <f>AO33+AP33+AQ33</f>
        <v>115368</v>
      </c>
      <c r="AS33" s="309">
        <f>230*B33</f>
        <v>2760</v>
      </c>
      <c r="AT33" s="309">
        <f>AS33*16%</f>
        <v>441.6</v>
      </c>
      <c r="AU33" s="311">
        <f>AR33+AS33+AT33</f>
        <v>118569.60000000001</v>
      </c>
    </row>
    <row r="34" spans="2:47" s="281" customFormat="1" ht="12.75" customHeight="1">
      <c r="B34" s="292">
        <v>2</v>
      </c>
      <c r="C34" s="293"/>
      <c r="D34" s="294"/>
      <c r="E34" s="294"/>
      <c r="F34" s="312" t="s">
        <v>551</v>
      </c>
      <c r="G34" s="296" t="s">
        <v>552</v>
      </c>
      <c r="H34" s="301"/>
      <c r="I34" s="301"/>
      <c r="J34" s="301"/>
      <c r="K34" s="301"/>
      <c r="L34" s="301"/>
      <c r="M34" s="298">
        <v>46404</v>
      </c>
      <c r="N34" s="303" t="s">
        <v>553</v>
      </c>
      <c r="O34" s="323" t="s">
        <v>554</v>
      </c>
      <c r="P34" s="302">
        <v>0.64236111111111116</v>
      </c>
      <c r="Q34" s="302">
        <v>0.72222222222222221</v>
      </c>
      <c r="R34" s="301">
        <v>46405</v>
      </c>
      <c r="S34" s="302" t="s">
        <v>836</v>
      </c>
      <c r="T34" s="303" t="s">
        <v>787</v>
      </c>
      <c r="U34" s="302">
        <v>0.33680555555555558</v>
      </c>
      <c r="V34" s="302">
        <v>0.3972222222222222</v>
      </c>
      <c r="W34" s="304">
        <v>46408</v>
      </c>
      <c r="X34" s="305" t="s">
        <v>804</v>
      </c>
      <c r="Y34" s="305" t="s">
        <v>789</v>
      </c>
      <c r="Z34" s="305">
        <v>0.25347222222222221</v>
      </c>
      <c r="AA34" s="305">
        <v>0.3888888888888889</v>
      </c>
      <c r="AB34" s="304">
        <v>46408</v>
      </c>
      <c r="AC34" s="314" t="s">
        <v>555</v>
      </c>
      <c r="AD34" s="314" t="s">
        <v>556</v>
      </c>
      <c r="AE34" s="305">
        <v>0.5</v>
      </c>
      <c r="AF34" s="305">
        <v>0.57916666666666672</v>
      </c>
      <c r="AG34" s="305"/>
      <c r="AH34" s="305"/>
      <c r="AI34" s="305"/>
      <c r="AJ34" s="305"/>
      <c r="AK34" s="305"/>
      <c r="AL34" s="319" t="s">
        <v>482</v>
      </c>
      <c r="AM34" s="315"/>
      <c r="AN34" s="316"/>
      <c r="AO34" s="309">
        <f>5538*B34</f>
        <v>11076</v>
      </c>
      <c r="AP34" s="309">
        <f>887*B34</f>
        <v>1774</v>
      </c>
      <c r="AQ34" s="309">
        <f>SUM(1200+1800)*B34</f>
        <v>6000</v>
      </c>
      <c r="AR34" s="309">
        <f>AO34+AP34+AQ34</f>
        <v>18850</v>
      </c>
      <c r="AS34" s="309">
        <f>230*B34</f>
        <v>460</v>
      </c>
      <c r="AT34" s="309">
        <f>AS34*16%</f>
        <v>73.600000000000009</v>
      </c>
      <c r="AU34" s="311">
        <f>AR34+AS34+AT34</f>
        <v>19383.599999999999</v>
      </c>
    </row>
    <row r="35" spans="2:47" s="281" customFormat="1" ht="12.75" customHeight="1">
      <c r="B35" s="292">
        <v>4</v>
      </c>
      <c r="C35" s="293"/>
      <c r="D35" s="294"/>
      <c r="E35" s="294"/>
      <c r="F35" s="312" t="s">
        <v>557</v>
      </c>
      <c r="G35" s="296"/>
      <c r="H35" s="301"/>
      <c r="I35" s="301"/>
      <c r="J35" s="301"/>
      <c r="K35" s="301"/>
      <c r="L35" s="301"/>
      <c r="M35" s="301">
        <v>46405</v>
      </c>
      <c r="N35" s="303" t="s">
        <v>837</v>
      </c>
      <c r="O35" s="323" t="s">
        <v>722</v>
      </c>
      <c r="P35" s="302">
        <v>0.43194444444444446</v>
      </c>
      <c r="Q35" s="302">
        <v>0.4861111111111111</v>
      </c>
      <c r="R35" s="301">
        <v>46405</v>
      </c>
      <c r="S35" s="302" t="s">
        <v>791</v>
      </c>
      <c r="T35" s="303" t="s">
        <v>787</v>
      </c>
      <c r="U35" s="302">
        <v>0.53125</v>
      </c>
      <c r="V35" s="302">
        <v>0.59097222222222223</v>
      </c>
      <c r="W35" s="304">
        <v>46408</v>
      </c>
      <c r="X35" s="305" t="s">
        <v>788</v>
      </c>
      <c r="Y35" s="305" t="s">
        <v>789</v>
      </c>
      <c r="Z35" s="305">
        <v>0.43402777777777779</v>
      </c>
      <c r="AA35" s="305">
        <v>0.56944444444444442</v>
      </c>
      <c r="AB35" s="304">
        <v>46408</v>
      </c>
      <c r="AC35" s="314" t="s">
        <v>838</v>
      </c>
      <c r="AD35" s="314" t="s">
        <v>724</v>
      </c>
      <c r="AE35" s="305">
        <v>0.65277777777777779</v>
      </c>
      <c r="AF35" s="305">
        <v>0.7055555555555556</v>
      </c>
      <c r="AG35" s="305"/>
      <c r="AH35" s="305"/>
      <c r="AI35" s="305"/>
      <c r="AJ35" s="305"/>
      <c r="AK35" s="305"/>
      <c r="AL35" s="319" t="s">
        <v>482</v>
      </c>
      <c r="AM35" s="315"/>
      <c r="AN35" s="316"/>
      <c r="AO35" s="309">
        <f>7454*B35</f>
        <v>29816</v>
      </c>
      <c r="AP35" s="309">
        <f>1193*B35</f>
        <v>4772</v>
      </c>
      <c r="AQ35" s="309">
        <f>SUM(1521+1800)*B35</f>
        <v>13284</v>
      </c>
      <c r="AR35" s="309">
        <f>AO35+AP35+AQ35</f>
        <v>47872</v>
      </c>
      <c r="AS35" s="309">
        <f>230*B35</f>
        <v>920</v>
      </c>
      <c r="AT35" s="309">
        <f>AS35*16%</f>
        <v>147.20000000000002</v>
      </c>
      <c r="AU35" s="311">
        <f>AR35+AS35+AT35</f>
        <v>48939.199999999997</v>
      </c>
    </row>
    <row r="36" spans="2:47" s="281" customFormat="1" ht="12.75" customHeight="1">
      <c r="B36" s="292">
        <v>18</v>
      </c>
      <c r="C36" s="293"/>
      <c r="D36" s="294"/>
      <c r="E36" s="294"/>
      <c r="F36" s="312" t="s">
        <v>562</v>
      </c>
      <c r="G36" s="296" t="s">
        <v>839</v>
      </c>
      <c r="H36" s="301"/>
      <c r="I36" s="301"/>
      <c r="J36" s="301"/>
      <c r="K36" s="301"/>
      <c r="L36" s="301"/>
      <c r="M36" s="301"/>
      <c r="N36" s="303"/>
      <c r="O36" s="323"/>
      <c r="P36" s="302"/>
      <c r="Q36" s="302"/>
      <c r="R36" s="301">
        <v>46405</v>
      </c>
      <c r="S36" s="302" t="s">
        <v>840</v>
      </c>
      <c r="T36" s="303" t="s">
        <v>841</v>
      </c>
      <c r="U36" s="302">
        <v>0.55902777777777779</v>
      </c>
      <c r="V36" s="302">
        <v>0.61250000000000004</v>
      </c>
      <c r="W36" s="304">
        <v>46408</v>
      </c>
      <c r="X36" s="305" t="s">
        <v>823</v>
      </c>
      <c r="Y36" s="305" t="s">
        <v>824</v>
      </c>
      <c r="Z36" s="305">
        <v>0.46875</v>
      </c>
      <c r="AA36" s="305">
        <v>0.57430555555555551</v>
      </c>
      <c r="AB36" s="304">
        <v>46408</v>
      </c>
      <c r="AC36" s="314" t="s">
        <v>842</v>
      </c>
      <c r="AD36" s="314" t="s">
        <v>843</v>
      </c>
      <c r="AE36" s="305">
        <v>0.78333333333333333</v>
      </c>
      <c r="AF36" s="305">
        <v>0.83819444444444446</v>
      </c>
      <c r="AG36" s="305"/>
      <c r="AH36" s="305"/>
      <c r="AI36" s="305"/>
      <c r="AJ36" s="305"/>
      <c r="AK36" s="305"/>
      <c r="AL36" s="319" t="s">
        <v>457</v>
      </c>
      <c r="AM36" s="315"/>
      <c r="AN36" s="316"/>
      <c r="AO36" s="309">
        <f>4100*B36</f>
        <v>73800</v>
      </c>
      <c r="AP36" s="309">
        <f>656*B36</f>
        <v>11808</v>
      </c>
      <c r="AQ36" s="309">
        <f>SUM(1125+1828)*B36</f>
        <v>53154</v>
      </c>
      <c r="AR36" s="309">
        <f>AO36+AP36+AQ36</f>
        <v>138762</v>
      </c>
      <c r="AS36" s="309">
        <f>230*B36</f>
        <v>4140</v>
      </c>
      <c r="AT36" s="309">
        <f>AS36*16%</f>
        <v>662.4</v>
      </c>
      <c r="AU36" s="311">
        <f>AR36+AS36+AT36</f>
        <v>143564.4</v>
      </c>
    </row>
    <row r="37" spans="2:47" s="281" customFormat="1" ht="12.75" customHeight="1">
      <c r="B37" s="292">
        <v>10</v>
      </c>
      <c r="C37" s="293"/>
      <c r="D37" s="294"/>
      <c r="E37" s="294"/>
      <c r="F37" s="312" t="s">
        <v>567</v>
      </c>
      <c r="G37" s="296"/>
      <c r="H37" s="301"/>
      <c r="I37" s="301"/>
      <c r="J37" s="301"/>
      <c r="K37" s="301"/>
      <c r="L37" s="301"/>
      <c r="M37" s="301">
        <v>46405</v>
      </c>
      <c r="N37" s="301" t="s">
        <v>844</v>
      </c>
      <c r="O37" s="323" t="s">
        <v>730</v>
      </c>
      <c r="P37" s="302">
        <v>0.25</v>
      </c>
      <c r="Q37" s="302">
        <v>0.2951388888888889</v>
      </c>
      <c r="R37" s="301">
        <v>46405</v>
      </c>
      <c r="S37" s="302" t="s">
        <v>836</v>
      </c>
      <c r="T37" s="303" t="s">
        <v>787</v>
      </c>
      <c r="U37" s="302">
        <v>0.33680555555555558</v>
      </c>
      <c r="V37" s="302">
        <v>0.3972222222222222</v>
      </c>
      <c r="W37" s="304">
        <v>46408</v>
      </c>
      <c r="X37" s="305" t="s">
        <v>794</v>
      </c>
      <c r="Y37" s="305" t="s">
        <v>789</v>
      </c>
      <c r="Z37" s="305">
        <v>0.60763888888888884</v>
      </c>
      <c r="AA37" s="305">
        <v>0.74652777777777779</v>
      </c>
      <c r="AB37" s="304">
        <v>46408</v>
      </c>
      <c r="AC37" s="314" t="s">
        <v>845</v>
      </c>
      <c r="AD37" s="314" t="s">
        <v>732</v>
      </c>
      <c r="AE37" s="305">
        <v>0.79861111111111116</v>
      </c>
      <c r="AF37" s="305">
        <v>0.85</v>
      </c>
      <c r="AG37" s="305"/>
      <c r="AH37" s="305"/>
      <c r="AI37" s="305"/>
      <c r="AJ37" s="305"/>
      <c r="AK37" s="305"/>
      <c r="AL37" s="319" t="s">
        <v>482</v>
      </c>
      <c r="AM37" s="315"/>
      <c r="AN37" s="316"/>
      <c r="AO37" s="309">
        <f>7002*B37</f>
        <v>70020</v>
      </c>
      <c r="AP37" s="309">
        <f>1121*B37</f>
        <v>11210</v>
      </c>
      <c r="AQ37" s="309">
        <f>SUM(1104+1800)*B37</f>
        <v>29040</v>
      </c>
      <c r="AR37" s="309">
        <f>AO37+AP37+AQ37</f>
        <v>110270</v>
      </c>
      <c r="AS37" s="309">
        <f>230*B37</f>
        <v>2300</v>
      </c>
      <c r="AT37" s="309">
        <f>AS37*16%</f>
        <v>368</v>
      </c>
      <c r="AU37" s="311">
        <f>AR37+AS37+AT37</f>
        <v>112938</v>
      </c>
    </row>
    <row r="38" spans="2:47" s="281" customFormat="1" ht="12.75" customHeight="1">
      <c r="B38" s="292">
        <v>2</v>
      </c>
      <c r="C38" s="293"/>
      <c r="D38" s="294"/>
      <c r="E38" s="294"/>
      <c r="F38" s="312" t="s">
        <v>572</v>
      </c>
      <c r="G38" s="296" t="s">
        <v>573</v>
      </c>
      <c r="H38" s="301"/>
      <c r="I38" s="301"/>
      <c r="J38" s="301"/>
      <c r="K38" s="301"/>
      <c r="L38" s="301"/>
      <c r="M38" s="298">
        <v>46039</v>
      </c>
      <c r="N38" s="303" t="s">
        <v>574</v>
      </c>
      <c r="O38" s="323" t="s">
        <v>575</v>
      </c>
      <c r="P38" s="302">
        <v>0.68819444444444444</v>
      </c>
      <c r="Q38" s="302">
        <v>0.76736111111111116</v>
      </c>
      <c r="R38" s="301">
        <v>46405</v>
      </c>
      <c r="S38" s="302" t="s">
        <v>836</v>
      </c>
      <c r="T38" s="303" t="s">
        <v>787</v>
      </c>
      <c r="U38" s="302">
        <v>0.33680555555555558</v>
      </c>
      <c r="V38" s="302">
        <v>0.3972222222222222</v>
      </c>
      <c r="W38" s="304">
        <v>46408</v>
      </c>
      <c r="X38" s="305" t="s">
        <v>788</v>
      </c>
      <c r="Y38" s="305" t="s">
        <v>789</v>
      </c>
      <c r="Z38" s="305">
        <v>0.43402777777777779</v>
      </c>
      <c r="AA38" s="305">
        <v>0.56944444444444442</v>
      </c>
      <c r="AB38" s="304">
        <v>46408</v>
      </c>
      <c r="AC38" s="314" t="s">
        <v>576</v>
      </c>
      <c r="AD38" s="314" t="s">
        <v>577</v>
      </c>
      <c r="AE38" s="305">
        <v>0.62847222222222221</v>
      </c>
      <c r="AF38" s="305">
        <v>0.69861111111111107</v>
      </c>
      <c r="AG38" s="305"/>
      <c r="AH38" s="305"/>
      <c r="AI38" s="305"/>
      <c r="AJ38" s="305"/>
      <c r="AK38" s="305"/>
      <c r="AL38" s="319" t="s">
        <v>482</v>
      </c>
      <c r="AM38" s="315"/>
      <c r="AN38" s="316"/>
      <c r="AO38" s="309">
        <f>5100*B38</f>
        <v>10200</v>
      </c>
      <c r="AP38" s="309">
        <f>816*B38</f>
        <v>1632</v>
      </c>
      <c r="AQ38" s="309">
        <f>SUM(1530+1800)*B38</f>
        <v>6660</v>
      </c>
      <c r="AR38" s="309">
        <f>AO38+AP38+AQ38</f>
        <v>18492</v>
      </c>
      <c r="AS38" s="309">
        <f>230*B38</f>
        <v>460</v>
      </c>
      <c r="AT38" s="309">
        <f>AS38*16%</f>
        <v>73.600000000000009</v>
      </c>
      <c r="AU38" s="311">
        <f>AR38+AS38+AT38</f>
        <v>19025.599999999999</v>
      </c>
    </row>
    <row r="39" spans="2:47" s="281" customFormat="1" ht="12.75" customHeight="1">
      <c r="B39" s="292">
        <v>1</v>
      </c>
      <c r="C39" s="293"/>
      <c r="D39" s="294"/>
      <c r="E39" s="294"/>
      <c r="F39" s="312" t="s">
        <v>578</v>
      </c>
      <c r="G39" s="296" t="s">
        <v>830</v>
      </c>
      <c r="H39" s="301"/>
      <c r="I39" s="302"/>
      <c r="J39" s="301"/>
      <c r="K39" s="300"/>
      <c r="L39" s="300"/>
      <c r="M39" s="301">
        <v>46405</v>
      </c>
      <c r="N39" s="303" t="s">
        <v>579</v>
      </c>
      <c r="O39" s="323" t="s">
        <v>580</v>
      </c>
      <c r="P39" s="302">
        <v>0.21527777777777779</v>
      </c>
      <c r="Q39" s="302">
        <v>0.2986111111111111</v>
      </c>
      <c r="R39" s="301">
        <v>46405</v>
      </c>
      <c r="S39" s="302" t="s">
        <v>542</v>
      </c>
      <c r="T39" s="303" t="s">
        <v>787</v>
      </c>
      <c r="U39" s="302">
        <v>0.44097222222222221</v>
      </c>
      <c r="V39" s="302">
        <v>0.57916666666666672</v>
      </c>
      <c r="W39" s="304">
        <v>46408</v>
      </c>
      <c r="X39" s="305" t="s">
        <v>544</v>
      </c>
      <c r="Y39" s="305" t="s">
        <v>789</v>
      </c>
      <c r="Z39" s="305">
        <v>0.51527777777777772</v>
      </c>
      <c r="AA39" s="305">
        <v>0.57986111111111116</v>
      </c>
      <c r="AB39" s="304">
        <v>46408</v>
      </c>
      <c r="AC39" s="314" t="s">
        <v>579</v>
      </c>
      <c r="AD39" s="314" t="s">
        <v>581</v>
      </c>
      <c r="AE39" s="305">
        <v>0.72916666666666663</v>
      </c>
      <c r="AF39" s="305">
        <v>0.8125</v>
      </c>
      <c r="AG39" s="313"/>
      <c r="AH39" s="305"/>
      <c r="AI39" s="305"/>
      <c r="AJ39" s="305"/>
      <c r="AK39" s="305"/>
      <c r="AL39" s="319" t="s">
        <v>582</v>
      </c>
      <c r="AM39" s="315"/>
      <c r="AN39" s="316"/>
      <c r="AO39" s="309">
        <f>3610*B39</f>
        <v>3610</v>
      </c>
      <c r="AP39" s="309">
        <f>578*B39</f>
        <v>578</v>
      </c>
      <c r="AQ39" s="309">
        <f>SUM(1445+1314+580)*B39</f>
        <v>3339</v>
      </c>
      <c r="AR39" s="309">
        <f>AO39+AP39+AQ39</f>
        <v>7527</v>
      </c>
      <c r="AS39" s="309">
        <f>230*B39</f>
        <v>230</v>
      </c>
      <c r="AT39" s="309">
        <f>AS39*16%</f>
        <v>36.800000000000004</v>
      </c>
      <c r="AU39" s="311">
        <f>AR39+AS39+AT39</f>
        <v>7793.8</v>
      </c>
    </row>
    <row r="40" spans="2:47" s="281" customFormat="1" ht="12.75" customHeight="1">
      <c r="B40" s="292">
        <v>5</v>
      </c>
      <c r="C40" s="293"/>
      <c r="D40" s="294"/>
      <c r="E40" s="294"/>
      <c r="F40" s="312" t="s">
        <v>583</v>
      </c>
      <c r="G40" s="296"/>
      <c r="H40" s="301"/>
      <c r="I40" s="301"/>
      <c r="J40" s="301"/>
      <c r="K40" s="301"/>
      <c r="L40" s="301"/>
      <c r="M40" s="301">
        <v>46405</v>
      </c>
      <c r="N40" s="303" t="s">
        <v>846</v>
      </c>
      <c r="O40" s="323" t="s">
        <v>739</v>
      </c>
      <c r="P40" s="302">
        <v>0.35972222222222222</v>
      </c>
      <c r="Q40" s="302">
        <v>0.41319444444444442</v>
      </c>
      <c r="R40" s="301">
        <v>46405</v>
      </c>
      <c r="S40" s="302" t="s">
        <v>791</v>
      </c>
      <c r="T40" s="303" t="s">
        <v>787</v>
      </c>
      <c r="U40" s="302">
        <v>0.53125</v>
      </c>
      <c r="V40" s="302">
        <v>0.59097222222222223</v>
      </c>
      <c r="W40" s="304">
        <v>46408</v>
      </c>
      <c r="X40" s="305" t="s">
        <v>794</v>
      </c>
      <c r="Y40" s="305" t="s">
        <v>789</v>
      </c>
      <c r="Z40" s="305">
        <v>0.60763888888888884</v>
      </c>
      <c r="AA40" s="305">
        <v>0.74652777777777779</v>
      </c>
      <c r="AB40" s="304">
        <v>46408</v>
      </c>
      <c r="AC40" s="314" t="s">
        <v>847</v>
      </c>
      <c r="AD40" s="314" t="s">
        <v>741</v>
      </c>
      <c r="AE40" s="305">
        <v>0.81597222222222221</v>
      </c>
      <c r="AF40" s="305">
        <v>0.86944444444444446</v>
      </c>
      <c r="AG40" s="305"/>
      <c r="AH40" s="305"/>
      <c r="AI40" s="305"/>
      <c r="AJ40" s="305"/>
      <c r="AK40" s="305"/>
      <c r="AL40" s="319" t="s">
        <v>482</v>
      </c>
      <c r="AM40" s="315"/>
      <c r="AN40" s="316"/>
      <c r="AO40" s="309">
        <f>8200*B40</f>
        <v>41000</v>
      </c>
      <c r="AP40" s="309">
        <f>1312*B40</f>
        <v>6560</v>
      </c>
      <c r="AQ40" s="309">
        <f>SUM(1440+1600)*B40</f>
        <v>15200</v>
      </c>
      <c r="AR40" s="309">
        <f>AO40+AP40+AQ40</f>
        <v>62760</v>
      </c>
      <c r="AS40" s="309">
        <f>230*B40</f>
        <v>1150</v>
      </c>
      <c r="AT40" s="309">
        <f>AS40*16%</f>
        <v>184</v>
      </c>
      <c r="AU40" s="311">
        <f>AR40+AS40+AT40</f>
        <v>64094</v>
      </c>
    </row>
    <row r="41" spans="2:47" s="281" customFormat="1" ht="12.75" customHeight="1">
      <c r="B41" s="292">
        <v>7</v>
      </c>
      <c r="C41" s="293"/>
      <c r="D41" s="294"/>
      <c r="E41" s="294"/>
      <c r="F41" s="312" t="s">
        <v>588</v>
      </c>
      <c r="G41" s="296"/>
      <c r="H41" s="301"/>
      <c r="I41" s="301"/>
      <c r="J41" s="301"/>
      <c r="K41" s="301"/>
      <c r="L41" s="301"/>
      <c r="M41" s="301">
        <v>46405</v>
      </c>
      <c r="N41" s="303" t="s">
        <v>848</v>
      </c>
      <c r="O41" s="303" t="s">
        <v>590</v>
      </c>
      <c r="P41" s="302">
        <v>0.3923611111111111</v>
      </c>
      <c r="Q41" s="302">
        <v>0.44791666666666669</v>
      </c>
      <c r="R41" s="301">
        <v>46405</v>
      </c>
      <c r="S41" s="302" t="s">
        <v>791</v>
      </c>
      <c r="T41" s="303" t="s">
        <v>787</v>
      </c>
      <c r="U41" s="302">
        <v>0.53125</v>
      </c>
      <c r="V41" s="302">
        <v>0.59097222222222223</v>
      </c>
      <c r="W41" s="304">
        <v>46408</v>
      </c>
      <c r="X41" s="305" t="s">
        <v>788</v>
      </c>
      <c r="Y41" s="305" t="s">
        <v>789</v>
      </c>
      <c r="Z41" s="305">
        <v>0.43402777777777779</v>
      </c>
      <c r="AA41" s="305">
        <v>0.56944444444444442</v>
      </c>
      <c r="AB41" s="304">
        <v>46408</v>
      </c>
      <c r="AC41" s="314" t="s">
        <v>637</v>
      </c>
      <c r="AD41" s="314" t="s">
        <v>593</v>
      </c>
      <c r="AE41" s="305">
        <v>0.72569444444444442</v>
      </c>
      <c r="AF41" s="305">
        <v>0.77638888888888891</v>
      </c>
      <c r="AG41" s="305"/>
      <c r="AH41" s="305"/>
      <c r="AI41" s="305"/>
      <c r="AJ41" s="305"/>
      <c r="AK41" s="305"/>
      <c r="AL41" s="309" t="s">
        <v>482</v>
      </c>
      <c r="AM41" s="315"/>
      <c r="AN41" s="316"/>
      <c r="AO41" s="309">
        <f>5622*B41</f>
        <v>39354</v>
      </c>
      <c r="AP41" s="309">
        <f>900*B41</f>
        <v>6300</v>
      </c>
      <c r="AQ41" s="309">
        <f>SUM(1540+1800)*B41</f>
        <v>23380</v>
      </c>
      <c r="AR41" s="309">
        <f>AO41+AP41+AQ41</f>
        <v>69034</v>
      </c>
      <c r="AS41" s="309">
        <f>230*B41</f>
        <v>1610</v>
      </c>
      <c r="AT41" s="309">
        <f>AS41*16%</f>
        <v>257.60000000000002</v>
      </c>
      <c r="AU41" s="311">
        <f>AR41+AS41+AT41</f>
        <v>70901.600000000006</v>
      </c>
    </row>
    <row r="42" spans="2:47" s="281" customFormat="1" ht="12.75" customHeight="1">
      <c r="B42" s="292">
        <v>10</v>
      </c>
      <c r="C42" s="293"/>
      <c r="D42" s="294"/>
      <c r="E42" s="294"/>
      <c r="F42" s="312" t="s">
        <v>594</v>
      </c>
      <c r="G42" s="296"/>
      <c r="H42" s="301"/>
      <c r="I42" s="301"/>
      <c r="J42" s="301"/>
      <c r="K42" s="301"/>
      <c r="L42" s="301"/>
      <c r="M42" s="301"/>
      <c r="N42" s="303"/>
      <c r="O42" s="323"/>
      <c r="P42" s="302"/>
      <c r="Q42" s="302"/>
      <c r="R42" s="301">
        <v>46405</v>
      </c>
      <c r="S42" s="302" t="s">
        <v>849</v>
      </c>
      <c r="T42" s="303" t="s">
        <v>850</v>
      </c>
      <c r="U42" s="302">
        <v>0.375</v>
      </c>
      <c r="V42" s="302">
        <v>0.50694444444444442</v>
      </c>
      <c r="W42" s="304">
        <v>46408</v>
      </c>
      <c r="X42" s="305" t="s">
        <v>851</v>
      </c>
      <c r="Y42" s="305" t="s">
        <v>852</v>
      </c>
      <c r="Z42" s="305">
        <v>0.53611111111111109</v>
      </c>
      <c r="AA42" s="305">
        <v>0.58402777777777781</v>
      </c>
      <c r="AB42" s="313"/>
      <c r="AC42" s="314"/>
      <c r="AD42" s="314"/>
      <c r="AE42" s="305"/>
      <c r="AF42" s="305"/>
      <c r="AG42" s="305"/>
      <c r="AH42" s="305"/>
      <c r="AI42" s="305"/>
      <c r="AJ42" s="305"/>
      <c r="AK42" s="305"/>
      <c r="AL42" s="319" t="s">
        <v>457</v>
      </c>
      <c r="AM42" s="315"/>
      <c r="AN42" s="316"/>
      <c r="AO42" s="309">
        <f>3999*B42</f>
        <v>39990</v>
      </c>
      <c r="AP42" s="309">
        <f>640*B42</f>
        <v>6400</v>
      </c>
      <c r="AQ42" s="309">
        <f>SUM(1274+1171)*B42</f>
        <v>24450</v>
      </c>
      <c r="AR42" s="309">
        <f>AO42+AP42+AQ42</f>
        <v>70840</v>
      </c>
      <c r="AS42" s="309">
        <f>230*B42</f>
        <v>2300</v>
      </c>
      <c r="AT42" s="309">
        <f>AS42*16%</f>
        <v>368</v>
      </c>
      <c r="AU42" s="311">
        <f>AR42+AS42+AT42</f>
        <v>73508</v>
      </c>
    </row>
    <row r="43" spans="2:47" s="281" customFormat="1" ht="12.75" customHeight="1">
      <c r="B43" s="292">
        <v>5</v>
      </c>
      <c r="C43" s="293"/>
      <c r="D43" s="294"/>
      <c r="E43" s="294"/>
      <c r="F43" s="312" t="s">
        <v>599</v>
      </c>
      <c r="G43" s="296"/>
      <c r="H43" s="301"/>
      <c r="I43" s="301"/>
      <c r="J43" s="301"/>
      <c r="K43" s="301"/>
      <c r="L43" s="301"/>
      <c r="M43" s="301">
        <v>46405</v>
      </c>
      <c r="N43" s="303" t="s">
        <v>853</v>
      </c>
      <c r="O43" s="323" t="s">
        <v>601</v>
      </c>
      <c r="P43" s="302">
        <v>0.36249999999999999</v>
      </c>
      <c r="Q43" s="302">
        <v>0.43402777777777779</v>
      </c>
      <c r="R43" s="301">
        <v>46405</v>
      </c>
      <c r="S43" s="302" t="s">
        <v>791</v>
      </c>
      <c r="T43" s="303" t="s">
        <v>787</v>
      </c>
      <c r="U43" s="302">
        <v>0.53125</v>
      </c>
      <c r="V43" s="302">
        <v>0.59097222222222223</v>
      </c>
      <c r="W43" s="304">
        <v>46408</v>
      </c>
      <c r="X43" s="305" t="s">
        <v>788</v>
      </c>
      <c r="Y43" s="305" t="s">
        <v>789</v>
      </c>
      <c r="Z43" s="305">
        <v>0.43402777777777779</v>
      </c>
      <c r="AA43" s="305">
        <v>0.56944444444444442</v>
      </c>
      <c r="AB43" s="304">
        <v>46408</v>
      </c>
      <c r="AC43" s="314" t="s">
        <v>854</v>
      </c>
      <c r="AD43" s="314" t="s">
        <v>603</v>
      </c>
      <c r="AE43" s="305">
        <v>0.73263888888888884</v>
      </c>
      <c r="AF43" s="305">
        <v>0.81041666666666667</v>
      </c>
      <c r="AG43" s="305"/>
      <c r="AH43" s="305"/>
      <c r="AI43" s="305"/>
      <c r="AJ43" s="305"/>
      <c r="AK43" s="305"/>
      <c r="AL43" s="319" t="s">
        <v>482</v>
      </c>
      <c r="AM43" s="315"/>
      <c r="AN43" s="316"/>
      <c r="AO43" s="309">
        <f>5100*B43</f>
        <v>25500</v>
      </c>
      <c r="AP43" s="309">
        <f>816*B43</f>
        <v>4080</v>
      </c>
      <c r="AQ43" s="309">
        <f>SUM(1560+1800)*B43</f>
        <v>16800</v>
      </c>
      <c r="AR43" s="309">
        <f>AO43+AP43+AQ43</f>
        <v>46380</v>
      </c>
      <c r="AS43" s="309">
        <f>230*B43</f>
        <v>1150</v>
      </c>
      <c r="AT43" s="309">
        <f>AS43*16%</f>
        <v>184</v>
      </c>
      <c r="AU43" s="311">
        <f>AR43+AS43+AT43</f>
        <v>47714</v>
      </c>
    </row>
    <row r="44" spans="2:47" s="281" customFormat="1" ht="12.75" customHeight="1">
      <c r="B44" s="292">
        <v>7</v>
      </c>
      <c r="C44" s="293"/>
      <c r="D44" s="294"/>
      <c r="E44" s="294"/>
      <c r="F44" s="312" t="s">
        <v>604</v>
      </c>
      <c r="G44" s="296"/>
      <c r="H44" s="301"/>
      <c r="I44" s="301"/>
      <c r="J44" s="301"/>
      <c r="K44" s="301"/>
      <c r="L44" s="301"/>
      <c r="M44" s="301">
        <v>46405</v>
      </c>
      <c r="N44" s="303" t="s">
        <v>862</v>
      </c>
      <c r="O44" s="323" t="s">
        <v>753</v>
      </c>
      <c r="P44" s="302">
        <v>0.35625000000000001</v>
      </c>
      <c r="Q44" s="302">
        <v>0.43055555555555558</v>
      </c>
      <c r="R44" s="301">
        <v>46405</v>
      </c>
      <c r="S44" s="302" t="s">
        <v>791</v>
      </c>
      <c r="T44" s="303" t="s">
        <v>787</v>
      </c>
      <c r="U44" s="302">
        <v>0.53125</v>
      </c>
      <c r="V44" s="302">
        <v>0.59097222222222223</v>
      </c>
      <c r="W44" s="304">
        <v>46408</v>
      </c>
      <c r="X44" s="305" t="s">
        <v>788</v>
      </c>
      <c r="Y44" s="305" t="s">
        <v>789</v>
      </c>
      <c r="Z44" s="305">
        <v>0.43402777777777779</v>
      </c>
      <c r="AA44" s="305">
        <v>0.56944444444444442</v>
      </c>
      <c r="AB44" s="304">
        <v>46408</v>
      </c>
      <c r="AC44" s="314" t="s">
        <v>856</v>
      </c>
      <c r="AD44" s="314" t="s">
        <v>755</v>
      </c>
      <c r="AE44" s="305">
        <v>0.6875</v>
      </c>
      <c r="AF44" s="305">
        <v>0.76111111111111107</v>
      </c>
      <c r="AG44" s="305"/>
      <c r="AH44" s="305"/>
      <c r="AI44" s="305"/>
      <c r="AJ44" s="305"/>
      <c r="AK44" s="305"/>
      <c r="AL44" s="319" t="s">
        <v>482</v>
      </c>
      <c r="AM44" s="315"/>
      <c r="AN44" s="316"/>
      <c r="AO44" s="309">
        <f>6840*B44</f>
        <v>47880</v>
      </c>
      <c r="AP44" s="309">
        <f>1095*B44</f>
        <v>7665</v>
      </c>
      <c r="AQ44" s="309">
        <f>SUM(1230+1800)*B44</f>
        <v>21210</v>
      </c>
      <c r="AR44" s="309">
        <f>AO44+AP44+AQ44</f>
        <v>76755</v>
      </c>
      <c r="AS44" s="309">
        <f>230*B44</f>
        <v>1610</v>
      </c>
      <c r="AT44" s="309">
        <f>AS44*16%</f>
        <v>257.60000000000002</v>
      </c>
      <c r="AU44" s="311">
        <f>AR44+AS44+AT44</f>
        <v>78622.600000000006</v>
      </c>
    </row>
    <row r="45" spans="2:47" s="281" customFormat="1" ht="12.75" customHeight="1">
      <c r="B45" s="292">
        <v>10</v>
      </c>
      <c r="C45" s="293"/>
      <c r="D45" s="294"/>
      <c r="E45" s="294"/>
      <c r="F45" s="312" t="s">
        <v>609</v>
      </c>
      <c r="G45" s="296"/>
      <c r="H45" s="301"/>
      <c r="I45" s="301"/>
      <c r="J45" s="303"/>
      <c r="K45" s="301"/>
      <c r="L45" s="301"/>
      <c r="M45" s="301">
        <v>46405</v>
      </c>
      <c r="N45" s="303" t="s">
        <v>863</v>
      </c>
      <c r="O45" s="303" t="s">
        <v>864</v>
      </c>
      <c r="P45" s="302">
        <v>0.38263888888888886</v>
      </c>
      <c r="Q45" s="302">
        <v>0.44791666666666669</v>
      </c>
      <c r="R45" s="301">
        <v>46405</v>
      </c>
      <c r="S45" s="302" t="s">
        <v>865</v>
      </c>
      <c r="T45" s="303" t="s">
        <v>822</v>
      </c>
      <c r="U45" s="302">
        <v>0.59305555555555556</v>
      </c>
      <c r="V45" s="302">
        <v>0.61527777777777781</v>
      </c>
      <c r="W45" s="304">
        <v>46408</v>
      </c>
      <c r="X45" s="305" t="s">
        <v>823</v>
      </c>
      <c r="Y45" s="305" t="s">
        <v>824</v>
      </c>
      <c r="Z45" s="305">
        <v>0.46875</v>
      </c>
      <c r="AA45" s="305">
        <v>0.57430555555555551</v>
      </c>
      <c r="AB45" s="304">
        <v>46408</v>
      </c>
      <c r="AC45" s="314" t="s">
        <v>866</v>
      </c>
      <c r="AD45" s="314" t="s">
        <v>867</v>
      </c>
      <c r="AE45" s="305">
        <v>0.34513888888888888</v>
      </c>
      <c r="AF45" s="305">
        <v>0.82361111111111107</v>
      </c>
      <c r="AG45" s="305"/>
      <c r="AH45" s="305"/>
      <c r="AI45" s="305"/>
      <c r="AJ45" s="305"/>
      <c r="AK45" s="305"/>
      <c r="AL45" s="319" t="s">
        <v>444</v>
      </c>
      <c r="AM45" s="315"/>
      <c r="AN45" s="316"/>
      <c r="AO45" s="309">
        <f>4100*B45</f>
        <v>41000</v>
      </c>
      <c r="AP45" s="309">
        <f>656*B45</f>
        <v>6560</v>
      </c>
      <c r="AQ45" s="309">
        <f>SUM(1355+2304)*B45</f>
        <v>36590</v>
      </c>
      <c r="AR45" s="309">
        <f>AO45+AP45+AQ45</f>
        <v>84150</v>
      </c>
      <c r="AS45" s="309">
        <f>230*B45</f>
        <v>2300</v>
      </c>
      <c r="AT45" s="309">
        <f>AS45*16%</f>
        <v>368</v>
      </c>
      <c r="AU45" s="311">
        <f>AR45+AS45+AT45</f>
        <v>86818</v>
      </c>
    </row>
    <row r="46" spans="2:47" s="281" customFormat="1" ht="12.75" customHeight="1">
      <c r="B46" s="292">
        <v>6</v>
      </c>
      <c r="C46" s="293"/>
      <c r="D46" s="294"/>
      <c r="E46" s="294"/>
      <c r="F46" s="312" t="s">
        <v>614</v>
      </c>
      <c r="G46" s="296"/>
      <c r="H46" s="301"/>
      <c r="I46" s="301"/>
      <c r="J46" s="301"/>
      <c r="K46" s="301"/>
      <c r="L46" s="301"/>
      <c r="M46" s="301">
        <v>46405</v>
      </c>
      <c r="N46" s="303" t="s">
        <v>859</v>
      </c>
      <c r="O46" s="323" t="s">
        <v>616</v>
      </c>
      <c r="P46" s="302">
        <v>0.37638888888888888</v>
      </c>
      <c r="Q46" s="302">
        <v>0.4513888888888889</v>
      </c>
      <c r="R46" s="301">
        <v>46405</v>
      </c>
      <c r="S46" s="302" t="s">
        <v>791</v>
      </c>
      <c r="T46" s="303" t="s">
        <v>787</v>
      </c>
      <c r="U46" s="302">
        <v>0.53125</v>
      </c>
      <c r="V46" s="302">
        <v>0.59097222222222223</v>
      </c>
      <c r="W46" s="304">
        <v>46408</v>
      </c>
      <c r="X46" s="305" t="s">
        <v>788</v>
      </c>
      <c r="Y46" s="305" t="s">
        <v>789</v>
      </c>
      <c r="Z46" s="305">
        <v>0.43402777777777779</v>
      </c>
      <c r="AA46" s="305">
        <v>0.56944444444444442</v>
      </c>
      <c r="AB46" s="304">
        <v>46408</v>
      </c>
      <c r="AC46" s="314" t="s">
        <v>617</v>
      </c>
      <c r="AD46" s="314" t="s">
        <v>618</v>
      </c>
      <c r="AE46" s="305">
        <v>0.62847222222222221</v>
      </c>
      <c r="AF46" s="305">
        <v>0.69513888888888886</v>
      </c>
      <c r="AG46" s="305"/>
      <c r="AH46" s="305"/>
      <c r="AI46" s="305"/>
      <c r="AJ46" s="305"/>
      <c r="AK46" s="305"/>
      <c r="AL46" s="319" t="s">
        <v>482</v>
      </c>
      <c r="AM46" s="315"/>
      <c r="AN46" s="316"/>
      <c r="AO46" s="309">
        <f>5100*B46</f>
        <v>30600</v>
      </c>
      <c r="AP46" s="309">
        <f>816*B46</f>
        <v>4896</v>
      </c>
      <c r="AQ46" s="309">
        <f>SUM(1430+1800)*B46</f>
        <v>19380</v>
      </c>
      <c r="AR46" s="309">
        <f>AO46+AP46+AQ46</f>
        <v>54876</v>
      </c>
      <c r="AS46" s="309">
        <f>230*B46</f>
        <v>1380</v>
      </c>
      <c r="AT46" s="309">
        <f>AS46*16%</f>
        <v>220.8</v>
      </c>
      <c r="AU46" s="311">
        <f>AR46+AS46+AT46</f>
        <v>56476.800000000003</v>
      </c>
    </row>
    <row r="47" spans="2:47" s="281" customFormat="1" ht="12.75" customHeight="1">
      <c r="B47" s="292">
        <v>3</v>
      </c>
      <c r="C47" s="293"/>
      <c r="D47" s="294"/>
      <c r="E47" s="294"/>
      <c r="F47" s="312" t="s">
        <v>619</v>
      </c>
      <c r="G47" s="296"/>
      <c r="H47" s="298">
        <v>46404</v>
      </c>
      <c r="I47" s="303" t="s">
        <v>514</v>
      </c>
      <c r="J47" s="303" t="s">
        <v>620</v>
      </c>
      <c r="K47" s="302">
        <v>0.75</v>
      </c>
      <c r="L47" s="302">
        <v>0.8125</v>
      </c>
      <c r="M47" s="301">
        <v>46405</v>
      </c>
      <c r="N47" s="303" t="s">
        <v>863</v>
      </c>
      <c r="O47" s="303" t="s">
        <v>864</v>
      </c>
      <c r="P47" s="302">
        <v>0.38263888888888886</v>
      </c>
      <c r="Q47" s="302">
        <v>0.44791666666666669</v>
      </c>
      <c r="R47" s="301">
        <v>46405</v>
      </c>
      <c r="S47" s="302" t="s">
        <v>865</v>
      </c>
      <c r="T47" s="303" t="s">
        <v>822</v>
      </c>
      <c r="U47" s="302">
        <v>0.59305555555555556</v>
      </c>
      <c r="V47" s="302">
        <v>0.61527777777777781</v>
      </c>
      <c r="W47" s="304">
        <v>46408</v>
      </c>
      <c r="X47" s="305" t="s">
        <v>823</v>
      </c>
      <c r="Y47" s="305" t="s">
        <v>824</v>
      </c>
      <c r="Z47" s="305">
        <v>0.46875</v>
      </c>
      <c r="AA47" s="305">
        <v>0.57430555555555551</v>
      </c>
      <c r="AB47" s="304">
        <v>46408</v>
      </c>
      <c r="AC47" s="314" t="s">
        <v>866</v>
      </c>
      <c r="AD47" s="314" t="s">
        <v>867</v>
      </c>
      <c r="AE47" s="305">
        <v>0.34513888888888888</v>
      </c>
      <c r="AF47" s="305">
        <v>0.82361111111111107</v>
      </c>
      <c r="AG47" s="322">
        <v>46408</v>
      </c>
      <c r="AH47" s="314" t="s">
        <v>514</v>
      </c>
      <c r="AI47" s="314" t="s">
        <v>621</v>
      </c>
      <c r="AJ47" s="305">
        <v>0.41666666666666669</v>
      </c>
      <c r="AK47" s="305">
        <v>0.48194444444444445</v>
      </c>
      <c r="AL47" s="338" t="s">
        <v>868</v>
      </c>
      <c r="AM47" s="315"/>
      <c r="AN47" s="316"/>
      <c r="AO47" s="309">
        <f>4100*B47</f>
        <v>12300</v>
      </c>
      <c r="AP47" s="309">
        <f>656*B47</f>
        <v>1968</v>
      </c>
      <c r="AQ47" s="309">
        <f>SUM(1355+2304+899)*B47</f>
        <v>13674</v>
      </c>
      <c r="AR47" s="309">
        <f>AO47+AP47+AQ47</f>
        <v>27942</v>
      </c>
      <c r="AS47" s="309">
        <f>230*B47</f>
        <v>690</v>
      </c>
      <c r="AT47" s="309">
        <f>AS47*16%</f>
        <v>110.4</v>
      </c>
      <c r="AU47" s="311">
        <f>AR47+AS47+AT47</f>
        <v>28742.400000000001</v>
      </c>
    </row>
    <row r="48" spans="2:47" s="281" customFormat="1" ht="12.75" customHeight="1">
      <c r="B48" s="324">
        <v>1</v>
      </c>
      <c r="C48" s="325"/>
      <c r="D48" s="326"/>
      <c r="E48" s="326"/>
      <c r="F48" s="327" t="s">
        <v>623</v>
      </c>
      <c r="G48" s="328"/>
      <c r="H48" s="332">
        <v>46404</v>
      </c>
      <c r="I48" s="330" t="s">
        <v>514</v>
      </c>
      <c r="J48" s="330" t="s">
        <v>624</v>
      </c>
      <c r="K48" s="333">
        <v>0.55555555555555558</v>
      </c>
      <c r="L48" s="333">
        <v>0.71527777777777779</v>
      </c>
      <c r="M48" s="329">
        <v>46405</v>
      </c>
      <c r="N48" s="330" t="s">
        <v>863</v>
      </c>
      <c r="O48" s="330" t="s">
        <v>864</v>
      </c>
      <c r="P48" s="333">
        <v>0.38263888888888886</v>
      </c>
      <c r="Q48" s="333">
        <v>0.44791666666666669</v>
      </c>
      <c r="R48" s="329">
        <v>46405</v>
      </c>
      <c r="S48" s="333" t="s">
        <v>865</v>
      </c>
      <c r="T48" s="330" t="s">
        <v>822</v>
      </c>
      <c r="U48" s="333">
        <v>0.59305555555555556</v>
      </c>
      <c r="V48" s="333">
        <v>0.61527777777777781</v>
      </c>
      <c r="W48" s="334">
        <v>46408</v>
      </c>
      <c r="X48" s="335" t="s">
        <v>823</v>
      </c>
      <c r="Y48" s="335" t="s">
        <v>824</v>
      </c>
      <c r="Z48" s="335">
        <v>0.46875</v>
      </c>
      <c r="AA48" s="335">
        <v>0.57430555555555551</v>
      </c>
      <c r="AB48" s="334">
        <v>46408</v>
      </c>
      <c r="AC48" s="336" t="s">
        <v>866</v>
      </c>
      <c r="AD48" s="336" t="s">
        <v>867</v>
      </c>
      <c r="AE48" s="335">
        <v>0.34513888888888888</v>
      </c>
      <c r="AF48" s="335">
        <v>0.82361111111111107</v>
      </c>
      <c r="AG48" s="417">
        <v>46408</v>
      </c>
      <c r="AH48" s="336" t="s">
        <v>514</v>
      </c>
      <c r="AI48" s="336" t="s">
        <v>625</v>
      </c>
      <c r="AJ48" s="335">
        <v>0.41666666666666669</v>
      </c>
      <c r="AK48" s="335">
        <v>0.57986111111111116</v>
      </c>
      <c r="AL48" s="338" t="s">
        <v>868</v>
      </c>
      <c r="AM48" s="339"/>
      <c r="AN48" s="340"/>
      <c r="AO48" s="341">
        <f>4100*B48</f>
        <v>4100</v>
      </c>
      <c r="AP48" s="341">
        <f>656*B48</f>
        <v>656</v>
      </c>
      <c r="AQ48" s="341">
        <f>SUM(1355+2304+820)*B48</f>
        <v>4479</v>
      </c>
      <c r="AR48" s="341">
        <f>AO48+AP48+AQ48</f>
        <v>9235</v>
      </c>
      <c r="AS48" s="341">
        <f>230*B48</f>
        <v>230</v>
      </c>
      <c r="AT48" s="341">
        <f>AS48*16%</f>
        <v>36.800000000000004</v>
      </c>
      <c r="AU48" s="342">
        <f>AR48+AS48+AT48</f>
        <v>9501.7999999999993</v>
      </c>
    </row>
    <row r="49" spans="2:56" ht="12.75" customHeight="1">
      <c r="AL49" s="493" t="s">
        <v>626</v>
      </c>
      <c r="AM49" s="494"/>
      <c r="AN49" s="495"/>
      <c r="AO49" s="343">
        <f>SUM(AO9:AO48)</f>
        <v>1938446</v>
      </c>
      <c r="AP49" s="343">
        <f>SUM(AP9:AP48)</f>
        <v>313606</v>
      </c>
      <c r="AQ49" s="343">
        <f>SUM(AQ9:AQ48)</f>
        <v>996989.6</v>
      </c>
      <c r="AR49" s="343">
        <f>SUM(AR9:AR48)</f>
        <v>3249041.6</v>
      </c>
      <c r="AS49" s="343">
        <f>SUM(AS9:AS48)</f>
        <v>95220</v>
      </c>
      <c r="AT49" s="343">
        <f>SUM(AT9:AT48)</f>
        <v>15235.2</v>
      </c>
      <c r="AU49" s="343">
        <f>SUM(AU9:AU48)</f>
        <v>3359496.8000000007</v>
      </c>
    </row>
    <row r="50" spans="2:56" s="282" customFormat="1" ht="12.75">
      <c r="B50" s="344"/>
      <c r="AL50" s="285"/>
      <c r="AM50" s="285"/>
      <c r="AN50" s="285"/>
      <c r="AO50" s="345"/>
      <c r="AP50" s="345"/>
      <c r="AQ50" s="345"/>
      <c r="AR50" s="345"/>
      <c r="AS50" s="345"/>
      <c r="AT50" s="345"/>
      <c r="AU50" s="345"/>
    </row>
    <row r="51" spans="2:56" ht="12.75">
      <c r="B51" s="286"/>
      <c r="C51" s="487" t="s">
        <v>627</v>
      </c>
      <c r="D51" s="488"/>
      <c r="E51" s="488"/>
      <c r="F51" s="489"/>
      <c r="AT51" s="287"/>
    </row>
    <row r="52" spans="2:56" ht="12.75" customHeight="1">
      <c r="B52" s="286"/>
      <c r="C52" s="280" t="s">
        <v>400</v>
      </c>
      <c r="D52" s="280" t="s">
        <v>400</v>
      </c>
      <c r="H52" s="487" t="s">
        <v>401</v>
      </c>
      <c r="I52" s="488"/>
      <c r="J52" s="488"/>
      <c r="K52" s="488"/>
      <c r="L52" s="488"/>
      <c r="M52" s="488"/>
      <c r="N52" s="488"/>
      <c r="O52" s="488"/>
      <c r="P52" s="488"/>
      <c r="Q52" s="489"/>
      <c r="R52" s="288"/>
      <c r="S52" s="288"/>
      <c r="T52" s="288"/>
      <c r="U52" s="288"/>
      <c r="V52" s="288"/>
      <c r="W52" s="487" t="s">
        <v>402</v>
      </c>
      <c r="X52" s="488"/>
      <c r="Y52" s="488"/>
      <c r="Z52" s="488"/>
      <c r="AA52" s="488"/>
      <c r="AB52" s="488"/>
      <c r="AC52" s="488"/>
      <c r="AD52" s="488"/>
      <c r="AE52" s="488"/>
      <c r="AF52" s="488"/>
      <c r="AG52" s="488"/>
      <c r="AH52" s="488"/>
      <c r="AI52" s="488"/>
      <c r="AJ52" s="488"/>
      <c r="AK52" s="489"/>
      <c r="AT52" s="287"/>
    </row>
    <row r="53" spans="2:56" ht="27">
      <c r="B53" s="346" t="s">
        <v>403</v>
      </c>
      <c r="C53" s="347" t="s">
        <v>404</v>
      </c>
      <c r="D53" s="348" t="s">
        <v>405</v>
      </c>
      <c r="E53" s="348" t="s">
        <v>406</v>
      </c>
      <c r="F53" s="348" t="s">
        <v>407</v>
      </c>
      <c r="G53" s="348" t="s">
        <v>408</v>
      </c>
      <c r="H53" s="348"/>
      <c r="I53" s="348"/>
      <c r="J53" s="348"/>
      <c r="K53" s="348"/>
      <c r="L53" s="348"/>
      <c r="M53" s="348" t="s">
        <v>409</v>
      </c>
      <c r="N53" s="348" t="s">
        <v>410</v>
      </c>
      <c r="O53" s="348" t="s">
        <v>411</v>
      </c>
      <c r="P53" s="348" t="s">
        <v>412</v>
      </c>
      <c r="Q53" s="348" t="s">
        <v>413</v>
      </c>
      <c r="R53" s="348"/>
      <c r="S53" s="348"/>
      <c r="T53" s="348"/>
      <c r="U53" s="348"/>
      <c r="V53" s="349"/>
      <c r="W53" s="350" t="s">
        <v>409</v>
      </c>
      <c r="X53" s="351" t="s">
        <v>410</v>
      </c>
      <c r="Y53" s="351" t="s">
        <v>411</v>
      </c>
      <c r="Z53" s="351" t="s">
        <v>412</v>
      </c>
      <c r="AA53" s="351" t="s">
        <v>413</v>
      </c>
      <c r="AB53" s="351" t="s">
        <v>409</v>
      </c>
      <c r="AC53" s="351" t="s">
        <v>410</v>
      </c>
      <c r="AD53" s="351" t="s">
        <v>411</v>
      </c>
      <c r="AE53" s="351" t="s">
        <v>412</v>
      </c>
      <c r="AF53" s="351" t="s">
        <v>413</v>
      </c>
      <c r="AG53" s="351" t="s">
        <v>409</v>
      </c>
      <c r="AH53" s="351" t="s">
        <v>410</v>
      </c>
      <c r="AI53" s="351" t="s">
        <v>411</v>
      </c>
      <c r="AJ53" s="351" t="s">
        <v>412</v>
      </c>
      <c r="AK53" s="351" t="s">
        <v>413</v>
      </c>
      <c r="AL53" s="347" t="s">
        <v>414</v>
      </c>
      <c r="AM53" s="348" t="s">
        <v>415</v>
      </c>
      <c r="AN53" s="348" t="s">
        <v>416</v>
      </c>
      <c r="AO53" s="348" t="s">
        <v>417</v>
      </c>
      <c r="AP53" s="348" t="s">
        <v>418</v>
      </c>
      <c r="AQ53" s="348" t="s">
        <v>419</v>
      </c>
      <c r="AR53" s="352" t="s">
        <v>70</v>
      </c>
      <c r="AS53" s="348" t="s">
        <v>420</v>
      </c>
      <c r="AT53" s="348" t="s">
        <v>418</v>
      </c>
      <c r="AU53" s="352" t="s">
        <v>70</v>
      </c>
    </row>
    <row r="54" spans="2:56" s="281" customFormat="1" ht="12.75" customHeight="1">
      <c r="B54" s="353">
        <v>1</v>
      </c>
      <c r="C54" s="354"/>
      <c r="D54" s="355"/>
      <c r="E54" s="355"/>
      <c r="F54" s="356"/>
      <c r="G54" s="357"/>
      <c r="H54" s="358"/>
      <c r="I54" s="358"/>
      <c r="J54" s="358"/>
      <c r="K54" s="358"/>
      <c r="L54" s="358"/>
      <c r="M54" s="359"/>
      <c r="N54" s="359"/>
      <c r="O54" s="359"/>
      <c r="P54" s="360"/>
      <c r="Q54" s="360"/>
      <c r="R54" s="360"/>
      <c r="S54" s="360"/>
      <c r="T54" s="360"/>
      <c r="U54" s="360"/>
      <c r="V54" s="360"/>
      <c r="W54" s="361"/>
      <c r="X54" s="361"/>
      <c r="Y54" s="361"/>
      <c r="Z54" s="361"/>
      <c r="AA54" s="361"/>
      <c r="AB54" s="362"/>
      <c r="AC54" s="363"/>
      <c r="AD54" s="363"/>
      <c r="AE54" s="361"/>
      <c r="AF54" s="361"/>
      <c r="AG54" s="361"/>
      <c r="AH54" s="361"/>
      <c r="AI54" s="361"/>
      <c r="AJ54" s="361"/>
      <c r="AK54" s="361"/>
      <c r="AL54" s="364"/>
      <c r="AM54" s="365"/>
      <c r="AN54" s="366"/>
      <c r="AO54" s="367"/>
      <c r="AP54" s="367"/>
      <c r="AQ54" s="367"/>
      <c r="AR54" s="368"/>
      <c r="AS54" s="369"/>
      <c r="AT54" s="369"/>
      <c r="AU54" s="310"/>
    </row>
    <row r="55" spans="2:56" s="281" customFormat="1" ht="12.75" customHeight="1">
      <c r="B55" s="370">
        <v>2</v>
      </c>
      <c r="C55" s="325"/>
      <c r="D55" s="326"/>
      <c r="E55" s="326"/>
      <c r="F55" s="327"/>
      <c r="G55" s="327"/>
      <c r="H55" s="371"/>
      <c r="I55" s="371"/>
      <c r="J55" s="371"/>
      <c r="K55" s="371"/>
      <c r="L55" s="371"/>
      <c r="M55" s="330"/>
      <c r="N55" s="372"/>
      <c r="O55" s="372"/>
      <c r="P55" s="333"/>
      <c r="Q55" s="333"/>
      <c r="R55" s="333"/>
      <c r="S55" s="333"/>
      <c r="T55" s="333"/>
      <c r="U55" s="333"/>
      <c r="V55" s="333"/>
      <c r="W55" s="335"/>
      <c r="X55" s="335"/>
      <c r="Y55" s="335"/>
      <c r="Z55" s="335"/>
      <c r="AA55" s="335"/>
      <c r="AB55" s="373"/>
      <c r="AC55" s="336"/>
      <c r="AD55" s="336"/>
      <c r="AE55" s="335"/>
      <c r="AF55" s="335"/>
      <c r="AG55" s="335"/>
      <c r="AH55" s="335"/>
      <c r="AI55" s="335"/>
      <c r="AJ55" s="335"/>
      <c r="AK55" s="335"/>
      <c r="AL55" s="341"/>
      <c r="AM55" s="339"/>
      <c r="AN55" s="340"/>
      <c r="AO55" s="374"/>
      <c r="AP55" s="374"/>
      <c r="AQ55" s="374"/>
      <c r="AR55" s="374"/>
      <c r="AS55" s="375"/>
      <c r="AT55" s="375"/>
      <c r="AU55" s="310">
        <f>SUM(AR55:AT55)</f>
        <v>0</v>
      </c>
    </row>
    <row r="56" spans="2:56" ht="12.75">
      <c r="AL56" s="493" t="s">
        <v>626</v>
      </c>
      <c r="AM56" s="494"/>
      <c r="AN56" s="495"/>
      <c r="AO56" s="343">
        <f>SUM(AO54:AO55)</f>
        <v>0</v>
      </c>
      <c r="AP56" s="343">
        <f>SUM(AP54:AP55)</f>
        <v>0</v>
      </c>
      <c r="AQ56" s="343">
        <f>SUM(AQ54:AQ55)</f>
        <v>0</v>
      </c>
      <c r="AR56" s="343">
        <f>SUM(AR54:AR55)</f>
        <v>0</v>
      </c>
      <c r="AS56" s="343">
        <f>SUM(AS54:AS55)</f>
        <v>0</v>
      </c>
      <c r="AT56" s="343">
        <f>SUM(AT54:AT55)</f>
        <v>0</v>
      </c>
      <c r="AU56" s="343">
        <f>SUM(AU54:AU55)</f>
        <v>0</v>
      </c>
    </row>
    <row r="57" spans="2:56" ht="12.75">
      <c r="B57" s="286"/>
      <c r="C57" s="487" t="s">
        <v>628</v>
      </c>
      <c r="D57" s="488"/>
      <c r="E57" s="488"/>
      <c r="F57" s="489"/>
      <c r="AT57" s="287"/>
    </row>
    <row r="58" spans="2:56" ht="12.75" customHeight="1">
      <c r="B58" s="286"/>
      <c r="C58" s="280" t="s">
        <v>400</v>
      </c>
      <c r="D58" s="280" t="s">
        <v>400</v>
      </c>
      <c r="H58" s="487" t="s">
        <v>401</v>
      </c>
      <c r="I58" s="488"/>
      <c r="J58" s="488"/>
      <c r="K58" s="488"/>
      <c r="L58" s="488"/>
      <c r="M58" s="488"/>
      <c r="N58" s="488"/>
      <c r="O58" s="488"/>
      <c r="P58" s="488"/>
      <c r="Q58" s="489"/>
      <c r="R58" s="288"/>
      <c r="S58" s="288"/>
      <c r="T58" s="288"/>
      <c r="U58" s="288"/>
      <c r="V58" s="288"/>
      <c r="W58" s="487" t="s">
        <v>402</v>
      </c>
      <c r="X58" s="488"/>
      <c r="Y58" s="48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9"/>
      <c r="AT58" s="287"/>
    </row>
    <row r="59" spans="2:56" ht="27">
      <c r="B59" s="346" t="s">
        <v>403</v>
      </c>
      <c r="C59" s="347" t="s">
        <v>404</v>
      </c>
      <c r="D59" s="348" t="s">
        <v>405</v>
      </c>
      <c r="E59" s="348" t="s">
        <v>406</v>
      </c>
      <c r="F59" s="348" t="s">
        <v>407</v>
      </c>
      <c r="G59" s="349" t="s">
        <v>408</v>
      </c>
      <c r="H59" s="350"/>
      <c r="I59" s="351"/>
      <c r="J59" s="351"/>
      <c r="K59" s="351"/>
      <c r="L59" s="351"/>
      <c r="M59" s="376" t="s">
        <v>409</v>
      </c>
      <c r="N59" s="347" t="s">
        <v>410</v>
      </c>
      <c r="O59" s="348" t="s">
        <v>411</v>
      </c>
      <c r="P59" s="348" t="s">
        <v>412</v>
      </c>
      <c r="Q59" s="348" t="s">
        <v>413</v>
      </c>
      <c r="R59" s="348" t="s">
        <v>409</v>
      </c>
      <c r="S59" s="348" t="s">
        <v>410</v>
      </c>
      <c r="T59" s="348" t="s">
        <v>411</v>
      </c>
      <c r="U59" s="348" t="s">
        <v>412</v>
      </c>
      <c r="V59" s="349" t="s">
        <v>413</v>
      </c>
      <c r="W59" s="350" t="s">
        <v>409</v>
      </c>
      <c r="X59" s="351" t="s">
        <v>410</v>
      </c>
      <c r="Y59" s="351" t="s">
        <v>411</v>
      </c>
      <c r="Z59" s="351" t="s">
        <v>412</v>
      </c>
      <c r="AA59" s="351" t="s">
        <v>413</v>
      </c>
      <c r="AB59" s="351" t="s">
        <v>409</v>
      </c>
      <c r="AC59" s="351" t="s">
        <v>410</v>
      </c>
      <c r="AD59" s="351" t="s">
        <v>411</v>
      </c>
      <c r="AE59" s="351" t="s">
        <v>412</v>
      </c>
      <c r="AF59" s="351" t="s">
        <v>413</v>
      </c>
      <c r="AG59" s="351" t="s">
        <v>409</v>
      </c>
      <c r="AH59" s="351" t="s">
        <v>410</v>
      </c>
      <c r="AI59" s="351" t="s">
        <v>411</v>
      </c>
      <c r="AJ59" s="351" t="s">
        <v>412</v>
      </c>
      <c r="AK59" s="351" t="s">
        <v>413</v>
      </c>
      <c r="AL59" s="347" t="s">
        <v>414</v>
      </c>
      <c r="AM59" s="348" t="s">
        <v>415</v>
      </c>
      <c r="AN59" s="348" t="s">
        <v>416</v>
      </c>
      <c r="AO59" s="348" t="s">
        <v>417</v>
      </c>
      <c r="AP59" s="348" t="s">
        <v>418</v>
      </c>
      <c r="AQ59" s="348" t="s">
        <v>419</v>
      </c>
      <c r="AR59" s="352" t="s">
        <v>70</v>
      </c>
      <c r="AS59" s="348" t="s">
        <v>420</v>
      </c>
      <c r="AT59" s="348" t="s">
        <v>418</v>
      </c>
      <c r="AU59" s="352" t="s">
        <v>70</v>
      </c>
    </row>
    <row r="60" spans="2:56" s="281" customFormat="1" ht="12.75" customHeight="1">
      <c r="B60" s="377">
        <v>1</v>
      </c>
      <c r="C60" s="378"/>
      <c r="D60" s="379"/>
      <c r="E60" s="379"/>
      <c r="F60" s="380"/>
      <c r="G60" s="381"/>
      <c r="H60" s="382"/>
      <c r="I60" s="382"/>
      <c r="J60" s="382"/>
      <c r="K60" s="382"/>
      <c r="L60" s="382"/>
      <c r="M60" s="383"/>
      <c r="N60" s="303"/>
      <c r="O60" s="303"/>
      <c r="P60" s="302"/>
      <c r="Q60" s="302"/>
      <c r="R60" s="303"/>
      <c r="S60" s="303"/>
      <c r="T60" s="303"/>
      <c r="U60" s="302"/>
      <c r="V60" s="302"/>
      <c r="W60" s="384"/>
      <c r="X60" s="384"/>
      <c r="Y60" s="385"/>
      <c r="Z60" s="386"/>
      <c r="AA60" s="386"/>
      <c r="AB60" s="387"/>
      <c r="AC60" s="387"/>
      <c r="AD60" s="387"/>
      <c r="AE60" s="387"/>
      <c r="AF60" s="387"/>
      <c r="AG60" s="388"/>
      <c r="AH60" s="388"/>
      <c r="AI60" s="388"/>
      <c r="AJ60" s="388"/>
      <c r="AK60" s="388"/>
      <c r="AL60" s="389"/>
      <c r="AM60" s="389"/>
      <c r="AN60" s="389"/>
      <c r="AO60" s="310">
        <v>0</v>
      </c>
      <c r="AP60" s="310">
        <v>0</v>
      </c>
      <c r="AQ60" s="310">
        <v>0</v>
      </c>
      <c r="AR60" s="310">
        <f>AO60+AP60+AQ60</f>
        <v>0</v>
      </c>
      <c r="AS60" s="310">
        <v>0</v>
      </c>
      <c r="AT60" s="310">
        <f>AS60*16%</f>
        <v>0</v>
      </c>
      <c r="AU60" s="390">
        <f>AR60+AS60+AT60</f>
        <v>0</v>
      </c>
    </row>
    <row r="61" spans="2:56" s="281" customFormat="1" ht="12.75" customHeight="1">
      <c r="B61" s="377">
        <v>2</v>
      </c>
      <c r="C61" s="391"/>
      <c r="D61" s="294"/>
      <c r="E61" s="294"/>
      <c r="F61" s="295"/>
      <c r="G61" s="296"/>
      <c r="H61" s="392"/>
      <c r="I61" s="392"/>
      <c r="J61" s="392"/>
      <c r="K61" s="392"/>
      <c r="L61" s="392"/>
      <c r="M61" s="393"/>
      <c r="N61" s="393"/>
      <c r="O61" s="303"/>
      <c r="P61" s="393"/>
      <c r="Q61" s="393"/>
      <c r="R61" s="303"/>
      <c r="S61" s="303"/>
      <c r="T61" s="303"/>
      <c r="U61" s="302"/>
      <c r="V61" s="302"/>
      <c r="W61" s="304"/>
      <c r="X61" s="314"/>
      <c r="Y61" s="314"/>
      <c r="Z61" s="305"/>
      <c r="AA61" s="305"/>
      <c r="AB61" s="394"/>
      <c r="AC61" s="394"/>
      <c r="AD61" s="394"/>
      <c r="AE61" s="394"/>
      <c r="AF61" s="394"/>
      <c r="AG61" s="394"/>
      <c r="AH61" s="394"/>
      <c r="AI61" s="394"/>
      <c r="AJ61" s="394"/>
      <c r="AK61" s="394"/>
      <c r="AL61" s="395"/>
      <c r="AM61" s="310"/>
      <c r="AN61" s="310"/>
      <c r="AO61" s="310">
        <v>0</v>
      </c>
      <c r="AP61" s="310">
        <v>0</v>
      </c>
      <c r="AQ61" s="310">
        <v>0</v>
      </c>
      <c r="AR61" s="310">
        <f>AO61+AP61+AQ61</f>
        <v>0</v>
      </c>
      <c r="AS61" s="310">
        <v>0</v>
      </c>
      <c r="AT61" s="310">
        <f>AS61*16%</f>
        <v>0</v>
      </c>
      <c r="AU61" s="390">
        <f>AR61+AS61+AT61</f>
        <v>0</v>
      </c>
    </row>
    <row r="62" spans="2:56" s="281" customFormat="1" ht="12.75" customHeight="1">
      <c r="B62" s="377">
        <v>3</v>
      </c>
      <c r="C62" s="391"/>
      <c r="D62" s="294"/>
      <c r="E62" s="294"/>
      <c r="F62" s="295"/>
      <c r="G62" s="296"/>
      <c r="H62" s="392"/>
      <c r="I62" s="392"/>
      <c r="J62" s="392"/>
      <c r="K62" s="392"/>
      <c r="L62" s="392"/>
      <c r="M62" s="303"/>
      <c r="N62" s="303"/>
      <c r="O62" s="303"/>
      <c r="P62" s="302"/>
      <c r="Q62" s="302"/>
      <c r="R62" s="303"/>
      <c r="S62" s="303"/>
      <c r="T62" s="303"/>
      <c r="U62" s="302"/>
      <c r="V62" s="302"/>
      <c r="W62" s="304"/>
      <c r="X62" s="314"/>
      <c r="Y62" s="314"/>
      <c r="Z62" s="305"/>
      <c r="AA62" s="305"/>
      <c r="AB62" s="394"/>
      <c r="AC62" s="394"/>
      <c r="AD62" s="394"/>
      <c r="AE62" s="394"/>
      <c r="AF62" s="394"/>
      <c r="AG62" s="394"/>
      <c r="AH62" s="394"/>
      <c r="AI62" s="394"/>
      <c r="AJ62" s="394"/>
      <c r="AK62" s="394"/>
      <c r="AL62" s="395"/>
      <c r="AM62" s="310"/>
      <c r="AN62" s="310"/>
      <c r="AO62" s="310"/>
      <c r="AP62" s="310"/>
      <c r="AQ62" s="310"/>
      <c r="AR62" s="310"/>
      <c r="AS62" s="310"/>
      <c r="AT62" s="310"/>
      <c r="AU62" s="390">
        <f>AR62+AS62+AT62</f>
        <v>0</v>
      </c>
    </row>
    <row r="63" spans="2:56" ht="12.75">
      <c r="AL63" s="493" t="s">
        <v>626</v>
      </c>
      <c r="AM63" s="494"/>
      <c r="AN63" s="495"/>
      <c r="AO63" s="343">
        <f>SUM(AO60:AO62)</f>
        <v>0</v>
      </c>
      <c r="AP63" s="343">
        <f>SUM(AP60:AP62)</f>
        <v>0</v>
      </c>
      <c r="AQ63" s="343">
        <f>SUM(AQ60:AQ62)</f>
        <v>0</v>
      </c>
      <c r="AR63" s="343">
        <f>SUM(AR60:AR62)</f>
        <v>0</v>
      </c>
      <c r="AS63" s="343">
        <f>SUM(AS60:AS62)</f>
        <v>0</v>
      </c>
      <c r="AT63" s="343">
        <f>SUM(AT60:AT62)</f>
        <v>0</v>
      </c>
      <c r="AU63" s="343">
        <f>SUM(AU60:AU62)</f>
        <v>0</v>
      </c>
    </row>
    <row r="64" spans="2:56" ht="12.75">
      <c r="C64" s="396"/>
      <c r="D64" s="396"/>
      <c r="E64" s="396"/>
      <c r="F64" s="396"/>
      <c r="G64" s="396"/>
      <c r="H64" s="396"/>
      <c r="I64" s="396"/>
      <c r="J64" s="396"/>
      <c r="K64" s="396"/>
      <c r="L64" s="396"/>
      <c r="Q64" s="280" t="s">
        <v>116</v>
      </c>
      <c r="AE64" s="397"/>
      <c r="BD64" s="398"/>
    </row>
    <row r="66" spans="2:58" ht="12.75">
      <c r="BE66" s="399"/>
      <c r="BF66" s="400"/>
    </row>
    <row r="67" spans="2:58" ht="14.45"/>
    <row r="68" spans="2:58" ht="12.75">
      <c r="B68" s="286"/>
      <c r="C68" s="487" t="s">
        <v>629</v>
      </c>
      <c r="D68" s="488"/>
      <c r="E68" s="488"/>
      <c r="F68" s="489"/>
      <c r="AT68" s="287"/>
    </row>
    <row r="69" spans="2:58" ht="12.75" customHeight="1">
      <c r="B69" s="286"/>
      <c r="C69" s="280" t="s">
        <v>400</v>
      </c>
      <c r="D69" s="280" t="s">
        <v>400</v>
      </c>
      <c r="H69" s="487" t="s">
        <v>401</v>
      </c>
      <c r="I69" s="488"/>
      <c r="J69" s="488"/>
      <c r="K69" s="488"/>
      <c r="L69" s="488"/>
      <c r="M69" s="488"/>
      <c r="N69" s="488"/>
      <c r="O69" s="488"/>
      <c r="P69" s="488"/>
      <c r="Q69" s="488"/>
      <c r="R69" s="488"/>
      <c r="S69" s="488"/>
      <c r="T69" s="488"/>
      <c r="U69" s="488"/>
      <c r="V69" s="489"/>
      <c r="W69" s="487" t="s">
        <v>402</v>
      </c>
      <c r="X69" s="488"/>
      <c r="Y69" s="488"/>
      <c r="Z69" s="488"/>
      <c r="AA69" s="488"/>
      <c r="AB69" s="488"/>
      <c r="AC69" s="488"/>
      <c r="AD69" s="488"/>
      <c r="AE69" s="488"/>
      <c r="AF69" s="488"/>
      <c r="AG69" s="488"/>
      <c r="AH69" s="488"/>
      <c r="AI69" s="488"/>
      <c r="AJ69" s="488"/>
      <c r="AK69" s="489"/>
      <c r="AT69" s="287"/>
    </row>
    <row r="70" spans="2:58" ht="27">
      <c r="B70" s="346" t="s">
        <v>403</v>
      </c>
      <c r="C70" s="347" t="s">
        <v>404</v>
      </c>
      <c r="D70" s="348" t="s">
        <v>405</v>
      </c>
      <c r="E70" s="348" t="s">
        <v>406</v>
      </c>
      <c r="F70" s="348" t="s">
        <v>407</v>
      </c>
      <c r="G70" s="348" t="s">
        <v>408</v>
      </c>
      <c r="H70" s="348"/>
      <c r="I70" s="348"/>
      <c r="J70" s="348"/>
      <c r="K70" s="348"/>
      <c r="L70" s="348"/>
      <c r="M70" s="348" t="s">
        <v>409</v>
      </c>
      <c r="N70" s="348" t="s">
        <v>410</v>
      </c>
      <c r="O70" s="348" t="s">
        <v>411</v>
      </c>
      <c r="P70" s="348" t="s">
        <v>412</v>
      </c>
      <c r="Q70" s="348" t="s">
        <v>413</v>
      </c>
      <c r="R70" s="348" t="s">
        <v>409</v>
      </c>
      <c r="S70" s="348" t="s">
        <v>410</v>
      </c>
      <c r="T70" s="348" t="s">
        <v>411</v>
      </c>
      <c r="U70" s="348" t="s">
        <v>412</v>
      </c>
      <c r="V70" s="348" t="s">
        <v>413</v>
      </c>
      <c r="W70" s="348" t="s">
        <v>409</v>
      </c>
      <c r="X70" s="348" t="s">
        <v>410</v>
      </c>
      <c r="Y70" s="348" t="s">
        <v>411</v>
      </c>
      <c r="Z70" s="348" t="s">
        <v>412</v>
      </c>
      <c r="AA70" s="348" t="s">
        <v>413</v>
      </c>
      <c r="AB70" s="348" t="s">
        <v>409</v>
      </c>
      <c r="AC70" s="348" t="s">
        <v>410</v>
      </c>
      <c r="AD70" s="348" t="s">
        <v>411</v>
      </c>
      <c r="AE70" s="348" t="s">
        <v>412</v>
      </c>
      <c r="AF70" s="348" t="s">
        <v>413</v>
      </c>
      <c r="AG70" s="348"/>
      <c r="AH70" s="348"/>
      <c r="AI70" s="348"/>
      <c r="AJ70" s="348"/>
      <c r="AK70" s="348"/>
      <c r="AL70" s="348" t="s">
        <v>414</v>
      </c>
      <c r="AM70" s="348" t="s">
        <v>415</v>
      </c>
      <c r="AN70" s="348" t="s">
        <v>416</v>
      </c>
      <c r="AO70" s="348" t="s">
        <v>417</v>
      </c>
      <c r="AP70" s="348" t="s">
        <v>418</v>
      </c>
      <c r="AQ70" s="348" t="s">
        <v>419</v>
      </c>
      <c r="AR70" s="352" t="s">
        <v>70</v>
      </c>
      <c r="AS70" s="348" t="s">
        <v>420</v>
      </c>
      <c r="AT70" s="348" t="s">
        <v>418</v>
      </c>
      <c r="AU70" s="352" t="s">
        <v>70</v>
      </c>
    </row>
    <row r="71" spans="2:58" ht="13.5">
      <c r="B71" s="353">
        <v>1</v>
      </c>
      <c r="C71" s="354"/>
      <c r="D71" s="355"/>
      <c r="E71" s="355"/>
      <c r="F71" s="356"/>
      <c r="G71" s="357"/>
      <c r="H71" s="358"/>
      <c r="I71" s="358"/>
      <c r="J71" s="358"/>
      <c r="K71" s="358"/>
      <c r="L71" s="358"/>
      <c r="M71" s="359"/>
      <c r="N71" s="359"/>
      <c r="O71" s="359"/>
      <c r="P71" s="360"/>
      <c r="Q71" s="360"/>
      <c r="R71" s="301">
        <v>46405</v>
      </c>
      <c r="S71" s="302" t="s">
        <v>799</v>
      </c>
      <c r="T71" s="303" t="s">
        <v>787</v>
      </c>
      <c r="U71" s="302">
        <v>0.57291666666666663</v>
      </c>
      <c r="V71" s="302">
        <v>0.625</v>
      </c>
      <c r="W71" s="304">
        <v>46408</v>
      </c>
      <c r="X71" s="305" t="s">
        <v>800</v>
      </c>
      <c r="Y71" s="305" t="s">
        <v>789</v>
      </c>
      <c r="Z71" s="305">
        <v>0.65138888888888891</v>
      </c>
      <c r="AA71" s="305">
        <v>0.78125</v>
      </c>
      <c r="AB71" s="304"/>
      <c r="AC71" s="314"/>
      <c r="AD71" s="314"/>
      <c r="AE71" s="305"/>
      <c r="AF71" s="305"/>
      <c r="AG71" s="305"/>
      <c r="AH71" s="305"/>
      <c r="AI71" s="305"/>
      <c r="AJ71" s="305"/>
      <c r="AK71" s="305"/>
      <c r="AL71" s="319" t="s">
        <v>457</v>
      </c>
      <c r="AM71" s="315"/>
      <c r="AN71" s="316"/>
      <c r="AO71" s="320">
        <f>4860*B71</f>
        <v>4860</v>
      </c>
      <c r="AP71" s="309">
        <f>778*B71</f>
        <v>778</v>
      </c>
      <c r="AQ71" s="309">
        <f>SUM(1275+1247)*B71</f>
        <v>2522</v>
      </c>
      <c r="AR71" s="309">
        <f>AO71+AP71+AQ71</f>
        <v>8160</v>
      </c>
      <c r="AS71" s="309">
        <f>230*B71</f>
        <v>230</v>
      </c>
      <c r="AT71" s="309">
        <f>AS71*16%</f>
        <v>36.800000000000004</v>
      </c>
      <c r="AU71" s="311">
        <f>AR71+AS71+AT71</f>
        <v>8426.7999999999993</v>
      </c>
      <c r="AV71" s="281"/>
      <c r="AW71" s="281"/>
      <c r="AX71" s="281"/>
      <c r="AY71" s="281"/>
      <c r="AZ71" s="281"/>
      <c r="BA71" s="281"/>
      <c r="BB71" s="281"/>
    </row>
    <row r="72" spans="2:58" ht="13.5">
      <c r="B72" s="401">
        <v>1</v>
      </c>
      <c r="C72" s="293"/>
      <c r="D72" s="294"/>
      <c r="E72" s="294"/>
      <c r="F72" s="312"/>
      <c r="G72" s="296"/>
      <c r="H72" s="392"/>
      <c r="I72" s="392"/>
      <c r="J72" s="392"/>
      <c r="K72" s="392"/>
      <c r="L72" s="392"/>
      <c r="M72" s="303"/>
      <c r="N72" s="303"/>
      <c r="O72" s="303"/>
      <c r="P72" s="302"/>
      <c r="Q72" s="302"/>
      <c r="R72" s="301">
        <v>46405</v>
      </c>
      <c r="S72" s="302" t="s">
        <v>799</v>
      </c>
      <c r="T72" s="303" t="s">
        <v>787</v>
      </c>
      <c r="U72" s="302">
        <v>0.57291666666666663</v>
      </c>
      <c r="V72" s="302">
        <v>0.625</v>
      </c>
      <c r="W72" s="304">
        <v>46408</v>
      </c>
      <c r="X72" s="305" t="s">
        <v>800</v>
      </c>
      <c r="Y72" s="305" t="s">
        <v>789</v>
      </c>
      <c r="Z72" s="305">
        <v>0.65138888888888891</v>
      </c>
      <c r="AA72" s="305">
        <v>0.78125</v>
      </c>
      <c r="AB72" s="304"/>
      <c r="AC72" s="314"/>
      <c r="AD72" s="314"/>
      <c r="AE72" s="305"/>
      <c r="AF72" s="305"/>
      <c r="AG72" s="305"/>
      <c r="AH72" s="305"/>
      <c r="AI72" s="305"/>
      <c r="AJ72" s="305"/>
      <c r="AK72" s="305"/>
      <c r="AL72" s="319" t="s">
        <v>457</v>
      </c>
      <c r="AM72" s="315"/>
      <c r="AN72" s="316"/>
      <c r="AO72" s="320">
        <f>4860*B72</f>
        <v>4860</v>
      </c>
      <c r="AP72" s="309">
        <f>778*B72</f>
        <v>778</v>
      </c>
      <c r="AQ72" s="309">
        <f>SUM(1275+1247)*B72</f>
        <v>2522</v>
      </c>
      <c r="AR72" s="309">
        <f>AO72+AP72+AQ72</f>
        <v>8160</v>
      </c>
      <c r="AS72" s="309">
        <f>230*B72</f>
        <v>230</v>
      </c>
      <c r="AT72" s="309">
        <f>AS72*16%</f>
        <v>36.800000000000004</v>
      </c>
      <c r="AU72" s="311">
        <f>AR72+AS72+AT72</f>
        <v>8426.7999999999993</v>
      </c>
      <c r="AV72" s="281"/>
      <c r="AW72" s="281"/>
      <c r="AX72" s="281"/>
      <c r="AY72" s="281"/>
      <c r="AZ72" s="281"/>
      <c r="BA72" s="281"/>
      <c r="BB72" s="281"/>
    </row>
    <row r="73" spans="2:58" ht="12.75" customHeight="1">
      <c r="AL73" s="496" t="s">
        <v>626</v>
      </c>
      <c r="AM73" s="497"/>
      <c r="AN73" s="498"/>
      <c r="AO73" s="343">
        <f>SUM(AO71:AO72)</f>
        <v>9720</v>
      </c>
      <c r="AP73" s="343">
        <f>SUM(AP71:AP72)</f>
        <v>1556</v>
      </c>
      <c r="AQ73" s="343">
        <f>SUM(AQ71:AQ72)</f>
        <v>5044</v>
      </c>
      <c r="AR73" s="343">
        <f>SUM(AR71:AR72)</f>
        <v>16320</v>
      </c>
      <c r="AS73" s="343">
        <f>SUM(AS71:AS72)</f>
        <v>460</v>
      </c>
      <c r="AT73" s="343">
        <f>SUM(AT71:AT72)</f>
        <v>73.600000000000009</v>
      </c>
      <c r="AU73" s="343">
        <f>SUM(AU71:AU72)</f>
        <v>16853.599999999999</v>
      </c>
    </row>
    <row r="74" spans="2:58" ht="12.75">
      <c r="C74" s="396"/>
      <c r="D74" s="396"/>
      <c r="E74" s="396"/>
      <c r="F74" s="396"/>
      <c r="G74" s="396"/>
      <c r="H74" s="396"/>
      <c r="I74" s="396"/>
      <c r="J74" s="396"/>
      <c r="K74" s="396"/>
      <c r="L74" s="396"/>
      <c r="Q74" s="280" t="s">
        <v>116</v>
      </c>
      <c r="AE74" s="397"/>
      <c r="AT74" s="398"/>
    </row>
    <row r="75" spans="2:58" ht="14.45"/>
    <row r="76" spans="2:58" ht="12.75" customHeight="1">
      <c r="AL76" s="496" t="s">
        <v>626</v>
      </c>
      <c r="AM76" s="497"/>
      <c r="AN76" s="498"/>
      <c r="AO76" s="402">
        <f>AO63+AO73</f>
        <v>9720</v>
      </c>
      <c r="AP76" s="402">
        <f>AP63+AP73</f>
        <v>1556</v>
      </c>
      <c r="AQ76" s="402">
        <f>AQ63+AQ73</f>
        <v>5044</v>
      </c>
      <c r="AR76" s="402">
        <f>AR63+AR73</f>
        <v>16320</v>
      </c>
      <c r="AS76" s="402">
        <f>AS63+AS73</f>
        <v>460</v>
      </c>
      <c r="AT76" s="402">
        <f>AT63+AT73</f>
        <v>73.600000000000009</v>
      </c>
      <c r="AU76" s="402">
        <f>AU63+AU73</f>
        <v>16853.599999999999</v>
      </c>
    </row>
    <row r="77" spans="2:58" ht="12.75">
      <c r="AU77" s="399">
        <f>AU73-AT73-AP73</f>
        <v>15224</v>
      </c>
      <c r="AV77" s="400" t="s">
        <v>630</v>
      </c>
    </row>
  </sheetData>
  <mergeCells count="20">
    <mergeCell ref="AL73:AN73"/>
    <mergeCell ref="AL76:AN76"/>
    <mergeCell ref="H58:Q58"/>
    <mergeCell ref="W58:AK58"/>
    <mergeCell ref="AL63:AN63"/>
    <mergeCell ref="C68:F68"/>
    <mergeCell ref="H69:V69"/>
    <mergeCell ref="W69:AK69"/>
    <mergeCell ref="AL49:AN49"/>
    <mergeCell ref="C51:F51"/>
    <mergeCell ref="H52:Q52"/>
    <mergeCell ref="W52:AK52"/>
    <mergeCell ref="AL56:AN56"/>
    <mergeCell ref="C57:F57"/>
    <mergeCell ref="B1:AU1"/>
    <mergeCell ref="B2:AU2"/>
    <mergeCell ref="B3:AU3"/>
    <mergeCell ref="C6:F6"/>
    <mergeCell ref="H7:V7"/>
    <mergeCell ref="W7:AK7"/>
  </mergeCells>
  <pageMargins left="0.70866141732283472" right="0.70866141732283472" top="0.74803149606299213" bottom="0.74803149606299213" header="0.31496062992125984" footer="0.31496062992125984"/>
  <pageSetup scale="3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8F57F-6FEF-47D7-ABB1-89C9FDF77D83}">
  <sheetPr>
    <tabColor theme="0"/>
  </sheetPr>
  <dimension ref="A1:M139"/>
  <sheetViews>
    <sheetView zoomScale="90" zoomScaleNormal="90" workbookViewId="0">
      <selection activeCell="B11" sqref="B11:J11"/>
    </sheetView>
  </sheetViews>
  <sheetFormatPr defaultColWidth="8.85546875" defaultRowHeight="14.45"/>
  <cols>
    <col min="1" max="1" width="20.7109375" customWidth="1"/>
    <col min="2" max="2" width="49.140625" customWidth="1"/>
    <col min="3" max="3" width="10.5703125" customWidth="1"/>
    <col min="4" max="5" width="13.85546875" customWidth="1"/>
    <col min="6" max="6" width="16.85546875" customWidth="1"/>
    <col min="7" max="9" width="13.85546875" customWidth="1"/>
    <col min="10" max="10" width="19.28515625" customWidth="1"/>
  </cols>
  <sheetData>
    <row r="1" spans="1:10" ht="15" thickTop="1">
      <c r="A1" s="438" t="s">
        <v>44</v>
      </c>
      <c r="B1" s="439"/>
      <c r="C1" s="439"/>
      <c r="D1" s="439"/>
      <c r="E1" s="439"/>
      <c r="F1" s="439"/>
      <c r="G1" s="439"/>
      <c r="H1" s="439"/>
      <c r="I1" s="439"/>
      <c r="J1" s="440"/>
    </row>
    <row r="2" spans="1:10">
      <c r="A2" s="441"/>
      <c r="B2" s="442"/>
      <c r="C2" s="442"/>
      <c r="D2" s="442"/>
      <c r="E2" s="442"/>
      <c r="F2" s="442"/>
      <c r="G2" s="442"/>
      <c r="H2" s="442"/>
      <c r="I2" s="442"/>
      <c r="J2" s="443"/>
    </row>
    <row r="3" spans="1:10">
      <c r="A3" s="441"/>
      <c r="B3" s="442"/>
      <c r="C3" s="442"/>
      <c r="D3" s="442"/>
      <c r="E3" s="442"/>
      <c r="F3" s="442"/>
      <c r="G3" s="442"/>
      <c r="H3" s="442"/>
      <c r="I3" s="442"/>
      <c r="J3" s="443"/>
    </row>
    <row r="4" spans="1:10">
      <c r="A4" s="441"/>
      <c r="B4" s="442"/>
      <c r="C4" s="442"/>
      <c r="D4" s="442"/>
      <c r="E4" s="442"/>
      <c r="F4" s="442"/>
      <c r="G4" s="442"/>
      <c r="H4" s="442"/>
      <c r="I4" s="442"/>
      <c r="J4" s="443"/>
    </row>
    <row r="5" spans="1:10" ht="15" thickBot="1">
      <c r="A5" s="444"/>
      <c r="B5" s="445"/>
      <c r="C5" s="445"/>
      <c r="D5" s="445"/>
      <c r="E5" s="445"/>
      <c r="F5" s="445"/>
      <c r="G5" s="445"/>
      <c r="H5" s="445"/>
      <c r="I5" s="445"/>
      <c r="J5" s="446"/>
    </row>
    <row r="6" spans="1:10" ht="15" thickTop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 customHeight="1">
      <c r="A7" s="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6">
      <c r="A8" s="2" t="s">
        <v>46</v>
      </c>
      <c r="B8" s="448" t="s">
        <v>152</v>
      </c>
      <c r="C8" s="448"/>
      <c r="D8" s="448"/>
      <c r="E8" s="448"/>
      <c r="F8" s="448"/>
      <c r="G8" s="448"/>
      <c r="H8" s="448"/>
      <c r="I8" s="448"/>
      <c r="J8" s="448"/>
    </row>
    <row r="9" spans="1:10" ht="15.6">
      <c r="A9" s="2" t="s">
        <v>48</v>
      </c>
      <c r="B9" s="449" t="s">
        <v>153</v>
      </c>
      <c r="C9" s="449"/>
      <c r="D9" s="449"/>
      <c r="E9" s="449"/>
      <c r="F9" s="449"/>
      <c r="G9" s="449"/>
      <c r="H9" s="449"/>
      <c r="I9" s="449"/>
      <c r="J9" s="449"/>
    </row>
    <row r="10" spans="1:10" ht="15.6">
      <c r="A10" s="2" t="s">
        <v>50</v>
      </c>
      <c r="B10" s="450" t="s">
        <v>51</v>
      </c>
      <c r="C10" s="450"/>
      <c r="D10" s="450"/>
      <c r="E10" s="450"/>
      <c r="F10" s="450"/>
      <c r="G10" s="450"/>
      <c r="H10" s="450"/>
      <c r="I10" s="450"/>
      <c r="J10" s="450"/>
    </row>
    <row r="11" spans="1:10" ht="15.75">
      <c r="A11" s="2" t="s">
        <v>52</v>
      </c>
      <c r="B11" s="450" t="s">
        <v>154</v>
      </c>
      <c r="C11" s="450"/>
      <c r="D11" s="450"/>
      <c r="E11" s="450"/>
      <c r="F11" s="450"/>
      <c r="G11" s="450"/>
      <c r="H11" s="450"/>
      <c r="I11" s="450"/>
      <c r="J11" s="450"/>
    </row>
    <row r="12" spans="1:10" ht="15.6" customHeight="1">
      <c r="A12" s="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2" t="s">
        <v>56</v>
      </c>
      <c r="B13" s="450"/>
      <c r="C13" s="450"/>
      <c r="D13" s="450"/>
      <c r="E13" s="450"/>
      <c r="F13" s="450"/>
      <c r="G13" s="450"/>
      <c r="H13" s="450"/>
      <c r="I13" s="450"/>
      <c r="J13" s="450"/>
    </row>
    <row r="14" spans="1:10">
      <c r="A14" s="3" t="s">
        <v>57</v>
      </c>
      <c r="B14" s="4" t="s">
        <v>58</v>
      </c>
      <c r="C14" s="5" t="s">
        <v>59</v>
      </c>
      <c r="D14" s="6">
        <v>0</v>
      </c>
      <c r="E14" s="7"/>
      <c r="F14" s="451" t="s">
        <v>60</v>
      </c>
      <c r="G14" s="451"/>
      <c r="H14" s="452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" thickBo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 thickBot="1">
      <c r="A17" s="431" t="s">
        <v>61</v>
      </c>
      <c r="B17" s="432"/>
      <c r="C17" s="7"/>
      <c r="D17" s="7"/>
      <c r="E17" s="7"/>
      <c r="F17" s="7"/>
      <c r="G17" s="7"/>
      <c r="H17" s="7"/>
      <c r="I17" s="7"/>
      <c r="J17" s="7"/>
    </row>
    <row r="18" spans="1:10" ht="15" thickBot="1">
      <c r="A18" s="78" t="s">
        <v>62</v>
      </c>
      <c r="B18" s="79" t="s">
        <v>13</v>
      </c>
      <c r="C18" s="80" t="s">
        <v>63</v>
      </c>
      <c r="D18" s="80" t="s">
        <v>64</v>
      </c>
      <c r="E18" s="80" t="s">
        <v>65</v>
      </c>
      <c r="F18" s="80" t="s">
        <v>66</v>
      </c>
      <c r="G18" s="80" t="s">
        <v>67</v>
      </c>
      <c r="H18" s="80" t="s">
        <v>68</v>
      </c>
      <c r="I18" s="80" t="s">
        <v>69</v>
      </c>
      <c r="J18" s="8" t="s">
        <v>70</v>
      </c>
    </row>
    <row r="19" spans="1:10" s="41" customFormat="1">
      <c r="A19" s="427" t="s">
        <v>71</v>
      </c>
      <c r="B19" s="70" t="s">
        <v>72</v>
      </c>
      <c r="C19" s="72">
        <v>5</v>
      </c>
      <c r="D19" s="74">
        <v>7124.0591000000004</v>
      </c>
      <c r="E19" s="72">
        <v>1</v>
      </c>
      <c r="F19" s="74">
        <f>SUM(C19*D19*E19)</f>
        <v>35620.2955</v>
      </c>
      <c r="G19" s="74">
        <f>178.11*C19*E19</f>
        <v>890.55000000000007</v>
      </c>
      <c r="H19" s="74">
        <f>212.99*C19*E19</f>
        <v>1064.95</v>
      </c>
      <c r="I19" s="74">
        <f>(F19+G19+H19)*16%</f>
        <v>6012.1272799999997</v>
      </c>
      <c r="J19" s="81">
        <f>I19+H19+G19+F19</f>
        <v>43587.922780000001</v>
      </c>
    </row>
    <row r="20" spans="1:10" s="41" customFormat="1" ht="15" thickBot="1">
      <c r="A20" s="429"/>
      <c r="B20" s="14" t="s">
        <v>73</v>
      </c>
      <c r="C20" s="15">
        <v>5</v>
      </c>
      <c r="D20" s="11">
        <v>93.94</v>
      </c>
      <c r="E20" s="10">
        <v>1</v>
      </c>
      <c r="F20" s="11"/>
      <c r="G20" s="11"/>
      <c r="H20" s="11">
        <f>E20*D20*C20</f>
        <v>469.7</v>
      </c>
      <c r="I20" s="11">
        <v>0</v>
      </c>
      <c r="J20" s="12">
        <f t="shared" ref="J20" si="0">I20+H20+G20+F20</f>
        <v>469.7</v>
      </c>
    </row>
    <row r="21" spans="1:10" s="41" customFormat="1">
      <c r="A21" s="427" t="s">
        <v>74</v>
      </c>
      <c r="B21" s="70" t="s">
        <v>72</v>
      </c>
      <c r="C21" s="72">
        <v>30</v>
      </c>
      <c r="D21" s="74">
        <v>7124.0591000000004</v>
      </c>
      <c r="E21" s="72">
        <v>3</v>
      </c>
      <c r="F21" s="74">
        <f>SUM(C21*D21*E21)</f>
        <v>641165.31900000002</v>
      </c>
      <c r="G21" s="74">
        <f>178.11*C21*E21</f>
        <v>16029.900000000001</v>
      </c>
      <c r="H21" s="74">
        <f>212.99*C21*E21</f>
        <v>19169.100000000002</v>
      </c>
      <c r="I21" s="74">
        <f>(F21+G21+H21)*16%</f>
        <v>108218.29104000001</v>
      </c>
      <c r="J21" s="81">
        <f>I21+H21+G21+F21</f>
        <v>784582.61004000006</v>
      </c>
    </row>
    <row r="22" spans="1:10" s="41" customFormat="1" ht="15" thickBot="1">
      <c r="A22" s="428"/>
      <c r="B22" s="9" t="s">
        <v>73</v>
      </c>
      <c r="C22" s="10">
        <v>30</v>
      </c>
      <c r="D22" s="11">
        <v>93.94</v>
      </c>
      <c r="E22" s="10">
        <v>3</v>
      </c>
      <c r="F22" s="11"/>
      <c r="G22" s="11"/>
      <c r="H22" s="11">
        <f>E22*D22*C22</f>
        <v>8454.6</v>
      </c>
      <c r="I22" s="11">
        <v>0</v>
      </c>
      <c r="J22" s="12">
        <f t="shared" ref="J22" si="1">I22+H22+G22+F22</f>
        <v>8454.6</v>
      </c>
    </row>
    <row r="23" spans="1:10" s="41" customFormat="1">
      <c r="A23" s="428"/>
      <c r="B23" s="70" t="s">
        <v>155</v>
      </c>
      <c r="C23" s="72">
        <v>190</v>
      </c>
      <c r="D23" s="74">
        <v>7704.6581999999999</v>
      </c>
      <c r="E23" s="72">
        <v>3</v>
      </c>
      <c r="F23" s="74">
        <f>SUM(C23*D23*E23)</f>
        <v>4391655.1739999996</v>
      </c>
      <c r="G23" s="74">
        <f>192.62*C23*E23</f>
        <v>109793.40000000001</v>
      </c>
      <c r="H23" s="74">
        <f>425.98*C23*E23</f>
        <v>242808.59999999998</v>
      </c>
      <c r="I23" s="74">
        <f>(F23+G23+H23)*16%</f>
        <v>759081.14783999999</v>
      </c>
      <c r="J23" s="81">
        <f t="shared" ref="J23" si="2">I23+H23+G23+F23</f>
        <v>5503338.3218399994</v>
      </c>
    </row>
    <row r="24" spans="1:10" s="41" customFormat="1" ht="15">
      <c r="A24" s="428"/>
      <c r="B24" s="14" t="s">
        <v>73</v>
      </c>
      <c r="C24" s="15">
        <v>190</v>
      </c>
      <c r="D24" s="16">
        <v>93.94</v>
      </c>
      <c r="E24" s="15">
        <v>3</v>
      </c>
      <c r="F24" s="16"/>
      <c r="G24" s="16"/>
      <c r="H24" s="16">
        <f>E24*D24*C24</f>
        <v>53545.799999999996</v>
      </c>
      <c r="I24" s="16">
        <v>0</v>
      </c>
      <c r="J24" s="17">
        <f t="shared" ref="J24:J25" si="3">I24+H24+G24+F24</f>
        <v>53545.799999999996</v>
      </c>
    </row>
    <row r="25" spans="1:10" s="41" customFormat="1" ht="15">
      <c r="A25" s="429"/>
      <c r="B25" s="99" t="s">
        <v>76</v>
      </c>
      <c r="C25" s="100">
        <v>-5</v>
      </c>
      <c r="D25" s="101">
        <v>-7124.06</v>
      </c>
      <c r="E25" s="100">
        <v>-3</v>
      </c>
      <c r="F25" s="101">
        <f>SUM(C25*D25*E25)</f>
        <v>-106860.90000000001</v>
      </c>
      <c r="G25" s="101">
        <f>-178.11*C25*E25</f>
        <v>-2671.65</v>
      </c>
      <c r="H25" s="101">
        <f>-212.99*C25*E25</f>
        <v>-3194.8500000000004</v>
      </c>
      <c r="I25" s="248">
        <f>(F25+G25+H25)*16%</f>
        <v>-18036.384000000002</v>
      </c>
      <c r="J25" s="102">
        <f t="shared" si="3"/>
        <v>-130763.78400000001</v>
      </c>
    </row>
    <row r="26" spans="1:10" s="41" customFormat="1" ht="15">
      <c r="A26" s="418"/>
      <c r="B26" s="419" t="s">
        <v>156</v>
      </c>
      <c r="C26" s="173">
        <v>1</v>
      </c>
      <c r="D26" s="174">
        <v>50000</v>
      </c>
      <c r="E26" s="173">
        <v>1</v>
      </c>
      <c r="F26" s="174">
        <f>SUM(C26*D26*E26)</f>
        <v>50000</v>
      </c>
      <c r="G26" s="174">
        <f>192.62*C26*E26</f>
        <v>192.62</v>
      </c>
      <c r="H26" s="174">
        <f>425.98*C26*E26</f>
        <v>425.98</v>
      </c>
      <c r="I26" s="174">
        <f>(F26+G26+H26)*16%</f>
        <v>8098.9760000000015</v>
      </c>
      <c r="J26" s="175">
        <f>I26+H26+G26+F26</f>
        <v>58717.576000000001</v>
      </c>
    </row>
    <row r="27" spans="1:10" ht="15">
      <c r="A27" s="18"/>
      <c r="B27" s="19" t="s">
        <v>78</v>
      </c>
      <c r="C27" s="20"/>
      <c r="D27" s="21"/>
      <c r="E27" s="20"/>
      <c r="F27" s="22">
        <f>SUM(F19:F26)</f>
        <v>5011579.8884999994</v>
      </c>
      <c r="G27" s="22">
        <f>SUM(G19:G26)</f>
        <v>124234.82</v>
      </c>
      <c r="H27" s="22">
        <f>SUM(H19:H26)</f>
        <v>322743.87999999995</v>
      </c>
      <c r="I27" s="22">
        <f>SUM(I19:I26)</f>
        <v>863374.15816000011</v>
      </c>
      <c r="J27" s="22">
        <f>SUM(J19:J26)</f>
        <v>6321932.7466599997</v>
      </c>
    </row>
    <row r="28" spans="1:10" ht="15" thickBot="1">
      <c r="A28" s="23"/>
      <c r="B28" s="28" t="s">
        <v>79</v>
      </c>
      <c r="C28" s="82"/>
      <c r="D28" s="83"/>
      <c r="E28" s="82"/>
      <c r="F28" s="83">
        <f>F27</f>
        <v>5011579.8884999994</v>
      </c>
      <c r="G28" s="83">
        <f t="shared" ref="G28:J28" si="4">G27</f>
        <v>124234.82</v>
      </c>
      <c r="H28" s="83">
        <f t="shared" si="4"/>
        <v>322743.87999999995</v>
      </c>
      <c r="I28" s="83">
        <f t="shared" si="4"/>
        <v>863374.15816000011</v>
      </c>
      <c r="J28" s="83">
        <f t="shared" si="4"/>
        <v>6321932.7466599997</v>
      </c>
    </row>
    <row r="29" spans="1:10">
      <c r="A29" s="18"/>
      <c r="B29" s="29"/>
      <c r="C29" s="20"/>
      <c r="D29" s="30"/>
      <c r="E29" s="20"/>
      <c r="F29" s="30"/>
      <c r="G29" s="30"/>
      <c r="H29" s="30"/>
      <c r="I29" s="30"/>
      <c r="J29" s="30"/>
    </row>
    <row r="30" spans="1:10" ht="15" thickBot="1">
      <c r="A30" s="18"/>
      <c r="B30" s="29"/>
      <c r="C30" s="20"/>
      <c r="D30" s="30"/>
      <c r="E30" s="20"/>
      <c r="F30" s="30"/>
      <c r="G30" s="30"/>
      <c r="H30" s="30"/>
      <c r="I30" s="30"/>
      <c r="J30" s="30"/>
    </row>
    <row r="31" spans="1:10" ht="15" thickBot="1">
      <c r="A31" s="431" t="s">
        <v>80</v>
      </c>
      <c r="B31" s="432"/>
      <c r="C31" s="7"/>
      <c r="D31" s="7"/>
      <c r="E31" s="7"/>
      <c r="F31" s="7"/>
      <c r="G31" s="7"/>
      <c r="H31" s="7"/>
      <c r="I31" s="7"/>
      <c r="J31" s="7"/>
    </row>
    <row r="32" spans="1:10" ht="15" thickBot="1">
      <c r="A32" s="78" t="s">
        <v>62</v>
      </c>
      <c r="B32" s="79" t="s">
        <v>13</v>
      </c>
      <c r="C32" s="80" t="s">
        <v>63</v>
      </c>
      <c r="D32" s="80" t="s">
        <v>64</v>
      </c>
      <c r="E32" s="80" t="s">
        <v>65</v>
      </c>
      <c r="F32" s="80" t="s">
        <v>66</v>
      </c>
      <c r="G32" s="80" t="s">
        <v>27</v>
      </c>
      <c r="H32" s="80" t="s">
        <v>68</v>
      </c>
      <c r="I32" s="80" t="s">
        <v>69</v>
      </c>
      <c r="J32" s="8" t="s">
        <v>70</v>
      </c>
    </row>
    <row r="33" spans="1:10" ht="36.75">
      <c r="A33" s="434" t="s">
        <v>71</v>
      </c>
      <c r="B33" s="128" t="s">
        <v>81</v>
      </c>
      <c r="C33" s="72">
        <v>5</v>
      </c>
      <c r="D33" s="71">
        <v>0</v>
      </c>
      <c r="E33" s="72">
        <v>1</v>
      </c>
      <c r="F33" s="74">
        <f t="shared" ref="F33:F34" si="5">SUM(C33*D33*E33)</f>
        <v>0</v>
      </c>
      <c r="G33" s="71"/>
      <c r="H33" s="71">
        <f t="shared" ref="H33:H34" si="6">F33*15%</f>
        <v>0</v>
      </c>
      <c r="I33" s="71">
        <f t="shared" ref="I33:I34" si="7">(F33*16%)+(H33*16%)</f>
        <v>0</v>
      </c>
      <c r="J33" s="73">
        <f t="shared" ref="J33:J34" si="8">I33+H33+G33+F33</f>
        <v>0</v>
      </c>
    </row>
    <row r="34" spans="1:10" ht="15" thickBot="1">
      <c r="A34" s="436"/>
      <c r="B34" s="126" t="s">
        <v>82</v>
      </c>
      <c r="C34" s="57">
        <v>5</v>
      </c>
      <c r="D34" s="58">
        <v>0</v>
      </c>
      <c r="E34" s="57">
        <v>1</v>
      </c>
      <c r="F34" s="59">
        <f t="shared" si="5"/>
        <v>0</v>
      </c>
      <c r="G34" s="58"/>
      <c r="H34" s="58">
        <f t="shared" si="6"/>
        <v>0</v>
      </c>
      <c r="I34" s="58">
        <f t="shared" si="7"/>
        <v>0</v>
      </c>
      <c r="J34" s="60">
        <f t="shared" si="8"/>
        <v>0</v>
      </c>
    </row>
    <row r="35" spans="1:10" s="41" customFormat="1" ht="36.75">
      <c r="A35" s="427" t="s">
        <v>83</v>
      </c>
      <c r="B35" s="129" t="s">
        <v>157</v>
      </c>
      <c r="C35" s="10">
        <v>5</v>
      </c>
      <c r="D35" s="31">
        <v>0</v>
      </c>
      <c r="E35" s="10">
        <v>1</v>
      </c>
      <c r="F35" s="48">
        <f t="shared" ref="F35:F42" si="9">SUM(C35*D35*E35)</f>
        <v>0</v>
      </c>
      <c r="G35" s="31"/>
      <c r="H35" s="31">
        <f t="shared" ref="H35:H42" si="10">F35*15%</f>
        <v>0</v>
      </c>
      <c r="I35" s="31">
        <f t="shared" ref="I35:I42" si="11">(F35*16%)+(H35*16%)</f>
        <v>0</v>
      </c>
      <c r="J35" s="32">
        <f t="shared" ref="J35:J42" si="12">I35+H35+G35+F35</f>
        <v>0</v>
      </c>
    </row>
    <row r="36" spans="1:10" s="41" customFormat="1" ht="24.75">
      <c r="A36" s="428"/>
      <c r="B36" s="129" t="s">
        <v>95</v>
      </c>
      <c r="C36" s="10">
        <v>410</v>
      </c>
      <c r="D36" s="31">
        <v>0</v>
      </c>
      <c r="E36" s="10">
        <v>1</v>
      </c>
      <c r="F36" s="48">
        <f t="shared" si="9"/>
        <v>0</v>
      </c>
      <c r="G36" s="31"/>
      <c r="H36" s="31">
        <f t="shared" si="10"/>
        <v>0</v>
      </c>
      <c r="I36" s="31">
        <f t="shared" si="11"/>
        <v>0</v>
      </c>
      <c r="J36" s="32">
        <f t="shared" si="12"/>
        <v>0</v>
      </c>
    </row>
    <row r="37" spans="1:10" s="41" customFormat="1" ht="40.15">
      <c r="A37" s="428"/>
      <c r="B37" s="9" t="s">
        <v>158</v>
      </c>
      <c r="C37" s="10">
        <v>410</v>
      </c>
      <c r="D37" s="31">
        <v>0</v>
      </c>
      <c r="E37" s="10">
        <v>1</v>
      </c>
      <c r="F37" s="48">
        <f t="shared" si="9"/>
        <v>0</v>
      </c>
      <c r="G37" s="31"/>
      <c r="H37" s="31">
        <f>F37*15%</f>
        <v>0</v>
      </c>
      <c r="I37" s="31">
        <f>(F37*16%)+(H37*16%)</f>
        <v>0</v>
      </c>
      <c r="J37" s="32">
        <f t="shared" si="12"/>
        <v>0</v>
      </c>
    </row>
    <row r="38" spans="1:10" s="41" customFormat="1" ht="40.15">
      <c r="A38" s="428"/>
      <c r="B38" s="42" t="s">
        <v>159</v>
      </c>
      <c r="C38" s="43">
        <v>410</v>
      </c>
      <c r="D38" s="63">
        <v>485</v>
      </c>
      <c r="E38" s="43">
        <v>1</v>
      </c>
      <c r="F38" s="54">
        <f t="shared" si="9"/>
        <v>198850</v>
      </c>
      <c r="G38" s="63"/>
      <c r="H38" s="63">
        <f>F38*15%</f>
        <v>29827.5</v>
      </c>
      <c r="I38" s="63">
        <f>(F38*16%)+(H38*16%)</f>
        <v>36588.400000000001</v>
      </c>
      <c r="J38" s="64">
        <f t="shared" si="12"/>
        <v>265265.90000000002</v>
      </c>
    </row>
    <row r="39" spans="1:10" s="41" customFormat="1" ht="58.9" customHeight="1">
      <c r="A39" s="428"/>
      <c r="B39" s="42" t="s">
        <v>160</v>
      </c>
      <c r="C39" s="43">
        <v>410</v>
      </c>
      <c r="D39" s="63">
        <v>0</v>
      </c>
      <c r="E39" s="43">
        <v>1</v>
      </c>
      <c r="F39" s="44">
        <f t="shared" si="9"/>
        <v>0</v>
      </c>
      <c r="G39" s="63"/>
      <c r="H39" s="63">
        <f t="shared" ref="H39:H41" si="13">F39*15%</f>
        <v>0</v>
      </c>
      <c r="I39" s="63">
        <f t="shared" ref="I39:I41" si="14">(F39*16%)+(H39*16%)</f>
        <v>0</v>
      </c>
      <c r="J39" s="64">
        <f t="shared" si="12"/>
        <v>0</v>
      </c>
    </row>
    <row r="40" spans="1:10" s="41" customFormat="1" ht="86.45" customHeight="1">
      <c r="A40" s="428"/>
      <c r="B40" s="131" t="s">
        <v>161</v>
      </c>
      <c r="C40" s="43">
        <v>410</v>
      </c>
      <c r="D40" s="63">
        <v>0</v>
      </c>
      <c r="E40" s="43">
        <v>1</v>
      </c>
      <c r="F40" s="44">
        <f t="shared" si="9"/>
        <v>0</v>
      </c>
      <c r="G40" s="63"/>
      <c r="H40" s="63">
        <f t="shared" si="13"/>
        <v>0</v>
      </c>
      <c r="I40" s="63">
        <f t="shared" si="14"/>
        <v>0</v>
      </c>
      <c r="J40" s="64">
        <f t="shared" si="12"/>
        <v>0</v>
      </c>
    </row>
    <row r="41" spans="1:10" s="41" customFormat="1" ht="100.9" customHeight="1">
      <c r="A41" s="428"/>
      <c r="B41" s="42" t="s">
        <v>162</v>
      </c>
      <c r="C41" s="43">
        <v>1</v>
      </c>
      <c r="D41" s="63">
        <v>371</v>
      </c>
      <c r="E41" s="43">
        <v>0</v>
      </c>
      <c r="F41" s="44">
        <f t="shared" si="9"/>
        <v>0</v>
      </c>
      <c r="G41" s="63"/>
      <c r="H41" s="63">
        <f t="shared" si="13"/>
        <v>0</v>
      </c>
      <c r="I41" s="63">
        <f t="shared" si="14"/>
        <v>0</v>
      </c>
      <c r="J41" s="64">
        <f t="shared" si="12"/>
        <v>0</v>
      </c>
    </row>
    <row r="42" spans="1:10" s="41" customFormat="1" ht="57.6" customHeight="1" thickBot="1">
      <c r="A42" s="429"/>
      <c r="B42" s="42" t="s">
        <v>163</v>
      </c>
      <c r="C42" s="43">
        <v>1</v>
      </c>
      <c r="D42" s="63">
        <v>392</v>
      </c>
      <c r="E42" s="43">
        <v>0</v>
      </c>
      <c r="F42" s="44">
        <f t="shared" si="9"/>
        <v>0</v>
      </c>
      <c r="G42" s="63"/>
      <c r="H42" s="63">
        <f t="shared" si="10"/>
        <v>0</v>
      </c>
      <c r="I42" s="63">
        <f t="shared" si="11"/>
        <v>0</v>
      </c>
      <c r="J42" s="64">
        <f t="shared" si="12"/>
        <v>0</v>
      </c>
    </row>
    <row r="43" spans="1:10" s="41" customFormat="1" ht="15">
      <c r="A43" s="434" t="s">
        <v>92</v>
      </c>
      <c r="B43" s="128" t="s">
        <v>93</v>
      </c>
      <c r="C43" s="72">
        <v>410</v>
      </c>
      <c r="D43" s="71">
        <v>0</v>
      </c>
      <c r="E43" s="72">
        <v>1</v>
      </c>
      <c r="F43" s="74">
        <f>SUM(C43*D43*E43)</f>
        <v>0</v>
      </c>
      <c r="G43" s="71"/>
      <c r="H43" s="71">
        <f>F43*15%</f>
        <v>0</v>
      </c>
      <c r="I43" s="71">
        <f>(F43*16%)+(H43*16%)</f>
        <v>0</v>
      </c>
      <c r="J43" s="73">
        <f>I43+H43+G43+F43</f>
        <v>0</v>
      </c>
    </row>
    <row r="44" spans="1:10" s="41" customFormat="1" ht="27">
      <c r="A44" s="437"/>
      <c r="B44" s="9" t="s">
        <v>164</v>
      </c>
      <c r="C44" s="10">
        <v>410</v>
      </c>
      <c r="D44" s="31">
        <v>0</v>
      </c>
      <c r="E44" s="10">
        <v>1</v>
      </c>
      <c r="F44" s="48">
        <f t="shared" ref="F44:F45" si="15">SUM(C44*D44*E44)</f>
        <v>0</v>
      </c>
      <c r="G44" s="31"/>
      <c r="H44" s="31">
        <f>F44*15%</f>
        <v>0</v>
      </c>
      <c r="I44" s="31">
        <f>(F44*16%)+(H44*16%)</f>
        <v>0</v>
      </c>
      <c r="J44" s="32">
        <f t="shared" ref="J44:J45" si="16">I44+H44+G44+F44</f>
        <v>0</v>
      </c>
    </row>
    <row r="45" spans="1:10" s="41" customFormat="1" ht="53.45">
      <c r="A45" s="437"/>
      <c r="B45" s="9" t="s">
        <v>165</v>
      </c>
      <c r="C45" s="10">
        <v>410</v>
      </c>
      <c r="D45" s="31">
        <v>485</v>
      </c>
      <c r="E45" s="10">
        <v>1</v>
      </c>
      <c r="F45" s="11">
        <f t="shared" si="15"/>
        <v>198850</v>
      </c>
      <c r="G45" s="31"/>
      <c r="H45" s="31">
        <f>F45*15%</f>
        <v>29827.5</v>
      </c>
      <c r="I45" s="31">
        <f>(F45*16%)+(H45*16%)</f>
        <v>36588.400000000001</v>
      </c>
      <c r="J45" s="31">
        <f t="shared" si="16"/>
        <v>265265.90000000002</v>
      </c>
    </row>
    <row r="46" spans="1:10" s="41" customFormat="1" ht="24.75">
      <c r="A46" s="437"/>
      <c r="B46" s="259" t="s">
        <v>95</v>
      </c>
      <c r="C46" s="47">
        <v>410</v>
      </c>
      <c r="D46" s="61">
        <v>0</v>
      </c>
      <c r="E46" s="47">
        <v>1</v>
      </c>
      <c r="F46" s="48">
        <f t="shared" ref="F46:F47" si="17">SUM(C46*D46*E46)</f>
        <v>0</v>
      </c>
      <c r="G46" s="61"/>
      <c r="H46" s="61">
        <f t="shared" ref="H46" si="18">F46*15%</f>
        <v>0</v>
      </c>
      <c r="I46" s="61">
        <f t="shared" ref="I46" si="19">(F46*16%)+(H46*16%)</f>
        <v>0</v>
      </c>
      <c r="J46" s="62">
        <f t="shared" ref="J46:J47" si="20">I46+H46+G46+F46</f>
        <v>0</v>
      </c>
    </row>
    <row r="47" spans="1:10" s="41" customFormat="1">
      <c r="A47" s="437"/>
      <c r="B47" s="9" t="s">
        <v>166</v>
      </c>
      <c r="C47" s="10">
        <v>410</v>
      </c>
      <c r="D47" s="31">
        <v>485</v>
      </c>
      <c r="E47" s="10">
        <v>1</v>
      </c>
      <c r="F47" s="11">
        <f t="shared" si="17"/>
        <v>198850</v>
      </c>
      <c r="G47" s="31"/>
      <c r="H47" s="31">
        <f>F47*15%</f>
        <v>29827.5</v>
      </c>
      <c r="I47" s="31">
        <f>(F47*16%)+(H47*16%)</f>
        <v>36588.400000000001</v>
      </c>
      <c r="J47" s="31">
        <f t="shared" si="20"/>
        <v>265265.90000000002</v>
      </c>
    </row>
    <row r="48" spans="1:10" s="41" customFormat="1" ht="49.9" customHeight="1" thickBot="1">
      <c r="A48" s="437"/>
      <c r="B48" s="141" t="s">
        <v>167</v>
      </c>
      <c r="C48" s="52">
        <v>410</v>
      </c>
      <c r="D48" s="53">
        <v>0</v>
      </c>
      <c r="E48" s="52">
        <v>1</v>
      </c>
      <c r="G48" s="61"/>
      <c r="H48" s="61">
        <v>0</v>
      </c>
      <c r="I48" s="61">
        <v>0</v>
      </c>
      <c r="J48" s="62">
        <v>0</v>
      </c>
    </row>
    <row r="49" spans="1:10" s="41" customFormat="1" ht="15">
      <c r="A49" s="434" t="s">
        <v>98</v>
      </c>
      <c r="B49" s="128" t="s">
        <v>168</v>
      </c>
      <c r="C49" s="72">
        <v>410</v>
      </c>
      <c r="D49" s="71">
        <v>0</v>
      </c>
      <c r="E49" s="72"/>
      <c r="F49" s="74">
        <f>SUM(C49*D49*E49)</f>
        <v>0</v>
      </c>
      <c r="G49" s="71"/>
      <c r="H49" s="71">
        <f>F49*15%</f>
        <v>0</v>
      </c>
      <c r="I49" s="71">
        <f>(F49*16%)+(H49*16%)</f>
        <v>0</v>
      </c>
      <c r="J49" s="73">
        <f>I49+H49+G49+F49</f>
        <v>0</v>
      </c>
    </row>
    <row r="50" spans="1:10" s="41" customFormat="1" ht="27">
      <c r="A50" s="435"/>
      <c r="B50" s="9" t="s">
        <v>169</v>
      </c>
      <c r="C50" s="10">
        <v>410</v>
      </c>
      <c r="D50" s="31">
        <v>0</v>
      </c>
      <c r="E50" s="10">
        <v>1</v>
      </c>
      <c r="F50" s="11">
        <f t="shared" ref="F50:F52" si="21">SUM(C50*D50*E50)</f>
        <v>0</v>
      </c>
      <c r="G50" s="31"/>
      <c r="H50" s="31">
        <f t="shared" ref="H50:H52" si="22">F50*15%</f>
        <v>0</v>
      </c>
      <c r="I50" s="31">
        <f t="shared" ref="I50:I52" si="23">(F50*16%)+(H50*16%)</f>
        <v>0</v>
      </c>
      <c r="J50" s="32">
        <f t="shared" ref="J50:J52" si="24">I50+H50+G50+F50</f>
        <v>0</v>
      </c>
    </row>
    <row r="51" spans="1:10" s="41" customFormat="1">
      <c r="A51" s="435"/>
      <c r="B51" s="42" t="s">
        <v>170</v>
      </c>
      <c r="C51" s="43">
        <v>410</v>
      </c>
      <c r="D51" s="63">
        <v>485</v>
      </c>
      <c r="E51" s="43">
        <v>1</v>
      </c>
      <c r="F51" s="11">
        <f t="shared" si="21"/>
        <v>198850</v>
      </c>
      <c r="G51" s="31"/>
      <c r="H51" s="31">
        <f t="shared" si="22"/>
        <v>29827.5</v>
      </c>
      <c r="I51" s="31">
        <f t="shared" si="23"/>
        <v>36588.400000000001</v>
      </c>
      <c r="J51" s="32">
        <f t="shared" si="24"/>
        <v>265265.90000000002</v>
      </c>
    </row>
    <row r="52" spans="1:10" s="41" customFormat="1" ht="24.75">
      <c r="A52" s="435"/>
      <c r="B52" s="129" t="s">
        <v>171</v>
      </c>
      <c r="C52" s="10">
        <v>410</v>
      </c>
      <c r="D52" s="31">
        <v>0</v>
      </c>
      <c r="E52" s="10">
        <v>1</v>
      </c>
      <c r="F52" s="11">
        <f t="shared" si="21"/>
        <v>0</v>
      </c>
      <c r="G52" s="31"/>
      <c r="H52" s="31">
        <f t="shared" si="22"/>
        <v>0</v>
      </c>
      <c r="I52" s="31">
        <f t="shared" si="23"/>
        <v>0</v>
      </c>
      <c r="J52" s="32">
        <f t="shared" si="24"/>
        <v>0</v>
      </c>
    </row>
    <row r="53" spans="1:10" s="41" customFormat="1" ht="87.6" customHeight="1">
      <c r="A53" s="435"/>
      <c r="B53" s="129" t="s">
        <v>172</v>
      </c>
      <c r="C53" s="10">
        <v>410</v>
      </c>
      <c r="D53" s="31">
        <v>0</v>
      </c>
      <c r="E53" s="10">
        <v>1</v>
      </c>
      <c r="F53" s="11">
        <f t="shared" ref="F53:F55" si="25">SUM(C53*D53*E53)</f>
        <v>0</v>
      </c>
      <c r="G53" s="31"/>
      <c r="H53" s="31">
        <f t="shared" ref="H53:H55" si="26">F53*15%</f>
        <v>0</v>
      </c>
      <c r="I53" s="31">
        <f t="shared" ref="I53:I55" si="27">(F53*16%)+(H53*16%)</f>
        <v>0</v>
      </c>
      <c r="J53" s="32">
        <f t="shared" ref="J53:J55" si="28">I53+H53+G53+F53</f>
        <v>0</v>
      </c>
    </row>
    <row r="54" spans="1:10" s="41" customFormat="1" ht="99" customHeight="1">
      <c r="A54" s="435"/>
      <c r="B54" s="42" t="s">
        <v>162</v>
      </c>
      <c r="C54" s="43">
        <v>1</v>
      </c>
      <c r="D54" s="63">
        <v>371</v>
      </c>
      <c r="E54" s="43">
        <v>0</v>
      </c>
      <c r="F54" s="44">
        <f t="shared" si="25"/>
        <v>0</v>
      </c>
      <c r="G54" s="63"/>
      <c r="H54" s="63">
        <f t="shared" si="26"/>
        <v>0</v>
      </c>
      <c r="I54" s="63">
        <f t="shared" si="27"/>
        <v>0</v>
      </c>
      <c r="J54" s="64">
        <f t="shared" si="28"/>
        <v>0</v>
      </c>
    </row>
    <row r="55" spans="1:10" s="41" customFormat="1" ht="54" thickBot="1">
      <c r="A55" s="436"/>
      <c r="B55" s="14" t="s">
        <v>163</v>
      </c>
      <c r="C55" s="15">
        <v>1</v>
      </c>
      <c r="D55" s="33">
        <v>392</v>
      </c>
      <c r="E55" s="15">
        <v>0</v>
      </c>
      <c r="F55" s="16">
        <f t="shared" si="25"/>
        <v>0</v>
      </c>
      <c r="G55" s="33"/>
      <c r="H55" s="33">
        <f t="shared" si="26"/>
        <v>0</v>
      </c>
      <c r="I55" s="33">
        <f t="shared" si="27"/>
        <v>0</v>
      </c>
      <c r="J55" s="34">
        <f t="shared" si="28"/>
        <v>0</v>
      </c>
    </row>
    <row r="56" spans="1:10" s="41" customFormat="1" ht="15" thickBot="1">
      <c r="A56" s="75" t="s">
        <v>101</v>
      </c>
      <c r="B56" s="126" t="s">
        <v>93</v>
      </c>
      <c r="C56" s="57">
        <v>410</v>
      </c>
      <c r="D56" s="58">
        <v>0</v>
      </c>
      <c r="E56" s="57">
        <v>1</v>
      </c>
      <c r="F56" s="59">
        <f>SUM(C56*D56*E56)</f>
        <v>0</v>
      </c>
      <c r="G56" s="58"/>
      <c r="H56" s="58">
        <f>F56*15%</f>
        <v>0</v>
      </c>
      <c r="I56" s="58">
        <f>(F56*16%)+(H56*16%)</f>
        <v>0</v>
      </c>
      <c r="J56" s="60">
        <f>I56+H56+G56+F56</f>
        <v>0</v>
      </c>
    </row>
    <row r="57" spans="1:10" ht="15" thickBot="1">
      <c r="A57" s="18"/>
      <c r="B57" s="19" t="s">
        <v>78</v>
      </c>
      <c r="C57" s="20"/>
      <c r="D57" s="21"/>
      <c r="E57" s="20"/>
      <c r="F57" s="22">
        <f>SUM(F35:F56)</f>
        <v>795400</v>
      </c>
      <c r="G57" s="22">
        <f>SUM(G35:G56)</f>
        <v>0</v>
      </c>
      <c r="H57" s="22">
        <f>SUM(H35:H56)</f>
        <v>119310</v>
      </c>
      <c r="I57" s="22">
        <f>SUM(I35:I56)</f>
        <v>146353.60000000001</v>
      </c>
      <c r="J57" s="22">
        <f>SUM(J35:J56)</f>
        <v>1061063.6000000001</v>
      </c>
    </row>
    <row r="58" spans="1:10" ht="15" thickBot="1">
      <c r="A58" s="23"/>
      <c r="B58" s="28" t="s">
        <v>102</v>
      </c>
      <c r="C58" s="82"/>
      <c r="D58" s="83"/>
      <c r="E58" s="82"/>
      <c r="F58" s="83">
        <f>F57</f>
        <v>795400</v>
      </c>
      <c r="G58" s="83">
        <f t="shared" ref="G58:J58" si="29">G57</f>
        <v>0</v>
      </c>
      <c r="H58" s="83">
        <f t="shared" si="29"/>
        <v>119310</v>
      </c>
      <c r="I58" s="83">
        <f t="shared" si="29"/>
        <v>146353.60000000001</v>
      </c>
      <c r="J58" s="83">
        <f t="shared" si="29"/>
        <v>1061063.6000000001</v>
      </c>
    </row>
    <row r="59" spans="1:10">
      <c r="A59" s="18"/>
      <c r="B59" s="29"/>
      <c r="C59" s="20"/>
      <c r="D59" s="21"/>
      <c r="E59" s="20"/>
      <c r="F59" s="30"/>
      <c r="G59" s="30"/>
      <c r="H59" s="30"/>
      <c r="I59" s="30"/>
      <c r="J59" s="30"/>
    </row>
    <row r="60" spans="1:10" ht="15" thickBot="1">
      <c r="A60" s="18"/>
      <c r="B60" s="29"/>
      <c r="C60" s="20"/>
      <c r="D60" s="21"/>
      <c r="E60" s="20"/>
      <c r="F60" s="30"/>
      <c r="G60" s="30"/>
      <c r="H60" s="30"/>
      <c r="I60" s="30"/>
      <c r="J60" s="30"/>
    </row>
    <row r="61" spans="1:10" ht="15" thickBot="1">
      <c r="A61" s="431" t="s">
        <v>103</v>
      </c>
      <c r="B61" s="432"/>
      <c r="C61" s="7"/>
      <c r="D61" s="7"/>
      <c r="E61" s="7"/>
      <c r="F61" s="7"/>
      <c r="G61" s="7"/>
      <c r="H61" s="7"/>
      <c r="I61" s="7"/>
      <c r="J61" s="7"/>
    </row>
    <row r="62" spans="1:10" ht="15" thickBot="1">
      <c r="A62" s="84" t="s">
        <v>62</v>
      </c>
      <c r="B62" s="79" t="s">
        <v>13</v>
      </c>
      <c r="C62" s="80" t="s">
        <v>63</v>
      </c>
      <c r="D62" s="80" t="s">
        <v>64</v>
      </c>
      <c r="E62" s="80" t="s">
        <v>65</v>
      </c>
      <c r="F62" s="80" t="s">
        <v>66</v>
      </c>
      <c r="G62" s="80" t="s">
        <v>27</v>
      </c>
      <c r="H62" s="80" t="s">
        <v>68</v>
      </c>
      <c r="I62" s="80" t="s">
        <v>69</v>
      </c>
      <c r="J62" s="8" t="s">
        <v>70</v>
      </c>
    </row>
    <row r="63" spans="1:10" ht="15">
      <c r="A63" s="434"/>
      <c r="B63" s="70" t="s">
        <v>104</v>
      </c>
      <c r="C63" s="72">
        <v>12</v>
      </c>
      <c r="D63" s="71">
        <v>2096</v>
      </c>
      <c r="E63" s="72">
        <v>1</v>
      </c>
      <c r="F63" s="71">
        <v>25152</v>
      </c>
      <c r="G63" s="71"/>
      <c r="H63" s="71">
        <v>1509.12</v>
      </c>
      <c r="I63" s="71">
        <v>4024.32</v>
      </c>
      <c r="J63" s="73">
        <v>30685.440000000002</v>
      </c>
    </row>
    <row r="64" spans="1:10" ht="15">
      <c r="A64" s="435"/>
      <c r="B64" s="9" t="s">
        <v>105</v>
      </c>
      <c r="C64" s="10">
        <v>15</v>
      </c>
      <c r="D64" s="31">
        <v>3137</v>
      </c>
      <c r="E64" s="10">
        <v>1</v>
      </c>
      <c r="F64" s="31">
        <v>47055</v>
      </c>
      <c r="G64" s="31"/>
      <c r="H64" s="31">
        <v>2823.2999999999997</v>
      </c>
      <c r="I64" s="31">
        <v>7528.8</v>
      </c>
      <c r="J64" s="32">
        <v>57407.1</v>
      </c>
    </row>
    <row r="65" spans="1:10" ht="15">
      <c r="A65" s="435"/>
      <c r="B65" s="9" t="s">
        <v>106</v>
      </c>
      <c r="C65" s="10">
        <v>1</v>
      </c>
      <c r="D65" s="31">
        <v>17205</v>
      </c>
      <c r="E65" s="10">
        <v>1</v>
      </c>
      <c r="F65" s="31">
        <v>17205</v>
      </c>
      <c r="G65" s="31"/>
      <c r="H65" s="31">
        <v>1032.3</v>
      </c>
      <c r="I65" s="31">
        <v>2752.8</v>
      </c>
      <c r="J65" s="32">
        <v>20990.1</v>
      </c>
    </row>
    <row r="66" spans="1:10" ht="15">
      <c r="A66" s="435"/>
      <c r="B66" s="9" t="s">
        <v>107</v>
      </c>
      <c r="C66" s="10">
        <v>1</v>
      </c>
      <c r="D66" s="31">
        <v>18901</v>
      </c>
      <c r="E66" s="10">
        <v>1</v>
      </c>
      <c r="F66" s="31">
        <v>18901</v>
      </c>
      <c r="G66" s="31"/>
      <c r="H66" s="31">
        <v>1134.06</v>
      </c>
      <c r="I66" s="31">
        <v>3024.16</v>
      </c>
      <c r="J66" s="32">
        <v>23059.22</v>
      </c>
    </row>
    <row r="67" spans="1:10" ht="15">
      <c r="A67" s="435"/>
      <c r="B67" s="9" t="s">
        <v>108</v>
      </c>
      <c r="C67" s="10">
        <v>1</v>
      </c>
      <c r="D67" s="31">
        <v>21011</v>
      </c>
      <c r="E67" s="10">
        <v>1</v>
      </c>
      <c r="F67" s="31">
        <v>21011</v>
      </c>
      <c r="G67" s="31"/>
      <c r="H67" s="31">
        <v>1260.6599999999999</v>
      </c>
      <c r="I67" s="31">
        <v>3361.76</v>
      </c>
      <c r="J67" s="32">
        <v>25633.42</v>
      </c>
    </row>
    <row r="68" spans="1:10" ht="15">
      <c r="A68" s="435"/>
      <c r="B68" s="9" t="s">
        <v>109</v>
      </c>
      <c r="C68" s="10">
        <v>9</v>
      </c>
      <c r="D68" s="31">
        <v>2096</v>
      </c>
      <c r="E68" s="10">
        <v>1</v>
      </c>
      <c r="F68" s="31">
        <v>18864</v>
      </c>
      <c r="G68" s="31"/>
      <c r="H68" s="31">
        <v>1131.8399999999999</v>
      </c>
      <c r="I68" s="31">
        <v>3018.2400000000002</v>
      </c>
      <c r="J68" s="32">
        <v>23014.080000000002</v>
      </c>
    </row>
    <row r="69" spans="1:10" ht="15">
      <c r="A69" s="435"/>
      <c r="B69" s="9" t="s">
        <v>110</v>
      </c>
      <c r="C69" s="10">
        <v>17</v>
      </c>
      <c r="D69" s="31">
        <v>3137</v>
      </c>
      <c r="E69" s="10">
        <v>1</v>
      </c>
      <c r="F69" s="31">
        <v>53329</v>
      </c>
      <c r="G69" s="31"/>
      <c r="H69" s="31">
        <v>3199.74</v>
      </c>
      <c r="I69" s="31">
        <v>8532.64</v>
      </c>
      <c r="J69" s="32">
        <v>65061.38</v>
      </c>
    </row>
    <row r="70" spans="1:10" ht="15">
      <c r="A70" s="435"/>
      <c r="B70" s="103" t="s">
        <v>111</v>
      </c>
      <c r="C70" s="10">
        <v>1</v>
      </c>
      <c r="D70" s="31">
        <v>18901</v>
      </c>
      <c r="E70" s="10">
        <v>1</v>
      </c>
      <c r="F70" s="31">
        <v>18901</v>
      </c>
      <c r="G70" s="31"/>
      <c r="H70" s="31">
        <v>1134.06</v>
      </c>
      <c r="I70" s="31">
        <v>3024.16</v>
      </c>
      <c r="J70" s="32">
        <v>23059.22</v>
      </c>
    </row>
    <row r="71" spans="1:10" ht="15" thickBot="1">
      <c r="A71" s="436"/>
      <c r="B71" s="104" t="s">
        <v>112</v>
      </c>
      <c r="C71" s="15">
        <v>2</v>
      </c>
      <c r="D71" s="33">
        <v>21011</v>
      </c>
      <c r="E71" s="15">
        <v>1</v>
      </c>
      <c r="F71" s="33">
        <v>42022</v>
      </c>
      <c r="G71" s="33"/>
      <c r="H71" s="33">
        <v>2521.3199999999997</v>
      </c>
      <c r="I71" s="33">
        <v>6723.52</v>
      </c>
      <c r="J71" s="34">
        <v>51266.84</v>
      </c>
    </row>
    <row r="72" spans="1:10" ht="15" thickBot="1">
      <c r="A72" s="18"/>
      <c r="B72" s="19" t="s">
        <v>78</v>
      </c>
      <c r="C72" s="20"/>
      <c r="D72" s="21"/>
      <c r="E72" s="20"/>
      <c r="F72" s="22">
        <f>SUM(F63:F71)</f>
        <v>262440</v>
      </c>
      <c r="G72" s="22">
        <f t="shared" ref="G72:J72" si="30">SUM(G63:G71)</f>
        <v>0</v>
      </c>
      <c r="H72" s="22">
        <f t="shared" si="30"/>
        <v>15746.4</v>
      </c>
      <c r="I72" s="22">
        <f t="shared" si="30"/>
        <v>41990.400000000009</v>
      </c>
      <c r="J72" s="22">
        <f t="shared" si="30"/>
        <v>320176.80000000005</v>
      </c>
    </row>
    <row r="73" spans="1:10" ht="15" thickBot="1">
      <c r="A73" s="23"/>
      <c r="B73" s="28" t="s">
        <v>113</v>
      </c>
      <c r="C73" s="82"/>
      <c r="D73" s="83"/>
      <c r="E73" s="82"/>
      <c r="F73" s="83">
        <f>F72</f>
        <v>262440</v>
      </c>
      <c r="G73" s="83">
        <f t="shared" ref="G73:J73" si="31">G72</f>
        <v>0</v>
      </c>
      <c r="H73" s="83">
        <f t="shared" si="31"/>
        <v>15746.4</v>
      </c>
      <c r="I73" s="83">
        <f t="shared" si="31"/>
        <v>41990.400000000009</v>
      </c>
      <c r="J73" s="37">
        <f t="shared" si="31"/>
        <v>320176.80000000005</v>
      </c>
    </row>
    <row r="74" spans="1:10" ht="15" thickBot="1">
      <c r="A74" s="23"/>
      <c r="B74" s="29"/>
      <c r="C74" s="20"/>
      <c r="D74" s="30"/>
      <c r="E74" s="20"/>
      <c r="F74" s="30"/>
      <c r="G74" s="30"/>
      <c r="H74" s="30"/>
      <c r="I74" s="30"/>
      <c r="J74" s="30"/>
    </row>
    <row r="75" spans="1:10" ht="15" thickBot="1">
      <c r="A75" s="431" t="s">
        <v>114</v>
      </c>
      <c r="B75" s="432"/>
      <c r="C75" s="7"/>
      <c r="D75" s="7"/>
      <c r="E75" s="7"/>
      <c r="F75" s="7"/>
      <c r="G75" s="7"/>
      <c r="H75" s="7"/>
      <c r="I75" s="7"/>
      <c r="J75" s="7"/>
    </row>
    <row r="76" spans="1:10" ht="15" thickBot="1">
      <c r="A76" s="66" t="s">
        <v>62</v>
      </c>
      <c r="B76" s="67" t="s">
        <v>13</v>
      </c>
      <c r="C76" s="68" t="s">
        <v>63</v>
      </c>
      <c r="D76" s="68" t="s">
        <v>64</v>
      </c>
      <c r="E76" s="68" t="s">
        <v>65</v>
      </c>
      <c r="F76" s="68" t="s">
        <v>66</v>
      </c>
      <c r="G76" s="68" t="s">
        <v>27</v>
      </c>
      <c r="H76" s="68" t="s">
        <v>68</v>
      </c>
      <c r="I76" s="68" t="s">
        <v>69</v>
      </c>
      <c r="J76" s="69" t="s">
        <v>70</v>
      </c>
    </row>
    <row r="77" spans="1:10" s="41" customFormat="1" ht="15">
      <c r="A77" s="50"/>
      <c r="B77" s="42"/>
      <c r="C77" s="43"/>
      <c r="D77" s="63"/>
      <c r="E77" s="43"/>
      <c r="F77" s="63"/>
      <c r="G77" s="63"/>
      <c r="H77" s="63"/>
      <c r="I77" s="63"/>
      <c r="J77" s="64"/>
    </row>
    <row r="78" spans="1:10" s="41" customFormat="1" ht="15" thickBot="1">
      <c r="A78" s="13"/>
      <c r="B78" s="14"/>
      <c r="C78" s="15"/>
      <c r="D78" s="33"/>
      <c r="E78" s="15"/>
      <c r="F78" s="33">
        <f t="shared" ref="F78" si="32">E78+D78+C78</f>
        <v>0</v>
      </c>
      <c r="G78" s="33"/>
      <c r="H78" s="33"/>
      <c r="I78" s="33">
        <f t="shared" ref="I78" si="33">F78*16%</f>
        <v>0</v>
      </c>
      <c r="J78" s="34">
        <f t="shared" ref="J78" si="34">I78+H78+G78+F78</f>
        <v>0</v>
      </c>
    </row>
    <row r="79" spans="1:10" ht="15" thickBot="1">
      <c r="A79" s="18"/>
      <c r="B79" s="19" t="s">
        <v>78</v>
      </c>
      <c r="C79" s="20"/>
      <c r="D79" s="21"/>
      <c r="E79" s="20"/>
      <c r="F79" s="22">
        <f>SUM(F77:F78)</f>
        <v>0</v>
      </c>
      <c r="G79" s="22">
        <f>SUM(G77:G78)</f>
        <v>0</v>
      </c>
      <c r="H79" s="22">
        <f>SUM(H77:H78)</f>
        <v>0</v>
      </c>
      <c r="I79" s="22">
        <f>SUM(I77:I78)</f>
        <v>0</v>
      </c>
      <c r="J79" s="22">
        <f>SUM(J77:J78)</f>
        <v>0</v>
      </c>
    </row>
    <row r="80" spans="1:10" ht="15" thickBot="1">
      <c r="A80" s="23"/>
      <c r="B80" s="28" t="s">
        <v>173</v>
      </c>
      <c r="C80" s="82"/>
      <c r="D80" s="83"/>
      <c r="E80" s="82"/>
      <c r="F80" s="83">
        <f>SUM(F79)</f>
        <v>0</v>
      </c>
      <c r="G80" s="83">
        <f t="shared" ref="G80:J80" si="35">SUM(G79)</f>
        <v>0</v>
      </c>
      <c r="H80" s="83">
        <f t="shared" si="35"/>
        <v>0</v>
      </c>
      <c r="I80" s="83">
        <f t="shared" si="35"/>
        <v>0</v>
      </c>
      <c r="J80" s="83">
        <f t="shared" si="35"/>
        <v>0</v>
      </c>
    </row>
    <row r="81" spans="1:13" ht="15" thickBot="1">
      <c r="A81" s="23"/>
      <c r="B81" s="29"/>
      <c r="C81" s="20"/>
      <c r="D81" s="30"/>
      <c r="E81" s="20"/>
      <c r="F81" s="30"/>
      <c r="G81" s="30"/>
      <c r="H81" s="30"/>
      <c r="I81" s="30"/>
      <c r="J81" s="30"/>
      <c r="M81" t="s">
        <v>116</v>
      </c>
    </row>
    <row r="82" spans="1:13" ht="15" thickBot="1">
      <c r="A82" s="431" t="s">
        <v>117</v>
      </c>
      <c r="B82" s="432"/>
      <c r="C82" s="7"/>
      <c r="D82" s="7"/>
      <c r="E82" s="7"/>
      <c r="F82" s="7"/>
      <c r="G82" s="7"/>
      <c r="H82" s="7"/>
      <c r="I82" s="7"/>
      <c r="J82" s="7"/>
    </row>
    <row r="83" spans="1:13" ht="15" thickBot="1">
      <c r="A83" s="78" t="s">
        <v>62</v>
      </c>
      <c r="B83" s="79" t="s">
        <v>13</v>
      </c>
      <c r="C83" s="80" t="s">
        <v>63</v>
      </c>
      <c r="D83" s="80" t="s">
        <v>64</v>
      </c>
      <c r="E83" s="80" t="s">
        <v>65</v>
      </c>
      <c r="F83" s="80" t="s">
        <v>66</v>
      </c>
      <c r="G83" s="80" t="s">
        <v>27</v>
      </c>
      <c r="H83" s="80" t="s">
        <v>68</v>
      </c>
      <c r="I83" s="80" t="s">
        <v>69</v>
      </c>
      <c r="J83" s="8" t="s">
        <v>70</v>
      </c>
      <c r="M83" t="s">
        <v>116</v>
      </c>
    </row>
    <row r="84" spans="1:13" s="41" customFormat="1" ht="27">
      <c r="A84" s="427" t="s">
        <v>74</v>
      </c>
      <c r="B84" s="70" t="s">
        <v>118</v>
      </c>
      <c r="C84" s="72">
        <v>1</v>
      </c>
      <c r="D84" s="74">
        <v>50</v>
      </c>
      <c r="E84" s="72">
        <v>0</v>
      </c>
      <c r="F84" s="71">
        <f t="shared" ref="F84:F103" si="36">SUM(C84*D84*E84)</f>
        <v>0</v>
      </c>
      <c r="G84" s="71"/>
      <c r="H84" s="71"/>
      <c r="I84" s="71">
        <f>F84*16%</f>
        <v>0</v>
      </c>
      <c r="J84" s="73">
        <f>I84+H84+G84+F84</f>
        <v>0</v>
      </c>
    </row>
    <row r="85" spans="1:13" s="41" customFormat="1" ht="60" customHeight="1">
      <c r="A85" s="428"/>
      <c r="B85" s="9" t="s">
        <v>174</v>
      </c>
      <c r="C85" s="10">
        <v>1</v>
      </c>
      <c r="D85" s="31">
        <v>10000</v>
      </c>
      <c r="E85" s="10">
        <v>0</v>
      </c>
      <c r="F85" s="31">
        <f>SUM(C85*D85*E85)</f>
        <v>0</v>
      </c>
      <c r="G85" s="31"/>
      <c r="H85" s="31"/>
      <c r="I85" s="31">
        <f>F85*16%</f>
        <v>0</v>
      </c>
      <c r="J85" s="32">
        <f>I85+H85+G85+F85</f>
        <v>0</v>
      </c>
    </row>
    <row r="86" spans="1:13" s="41" customFormat="1" ht="66.599999999999994">
      <c r="A86" s="428"/>
      <c r="B86" s="9" t="s">
        <v>175</v>
      </c>
      <c r="C86" s="10">
        <v>1</v>
      </c>
      <c r="D86" s="11">
        <v>10000</v>
      </c>
      <c r="E86" s="10">
        <v>0</v>
      </c>
      <c r="F86" s="31">
        <f t="shared" si="36"/>
        <v>0</v>
      </c>
      <c r="G86" s="31"/>
      <c r="H86" s="31"/>
      <c r="I86" s="31">
        <f t="shared" ref="I86:I103" si="37">F86*16%</f>
        <v>0</v>
      </c>
      <c r="J86" s="32">
        <f t="shared" ref="J86:J103" si="38">I86+H86+G86+F86</f>
        <v>0</v>
      </c>
    </row>
    <row r="87" spans="1:13" s="41" customFormat="1" ht="53.45">
      <c r="A87" s="428"/>
      <c r="B87" s="9" t="s">
        <v>122</v>
      </c>
      <c r="C87" s="10">
        <v>1</v>
      </c>
      <c r="D87" s="11">
        <v>10000</v>
      </c>
      <c r="E87" s="10">
        <v>0</v>
      </c>
      <c r="F87" s="31">
        <f t="shared" si="36"/>
        <v>0</v>
      </c>
      <c r="G87" s="31"/>
      <c r="H87" s="31"/>
      <c r="I87" s="31">
        <f t="shared" si="37"/>
        <v>0</v>
      </c>
      <c r="J87" s="32">
        <f t="shared" si="38"/>
        <v>0</v>
      </c>
    </row>
    <row r="88" spans="1:13" s="41" customFormat="1" ht="63.6" customHeight="1">
      <c r="A88" s="428"/>
      <c r="B88" s="9" t="s">
        <v>176</v>
      </c>
      <c r="C88" s="10">
        <v>1</v>
      </c>
      <c r="D88" s="11">
        <v>10000</v>
      </c>
      <c r="E88" s="10">
        <v>0</v>
      </c>
      <c r="F88" s="31">
        <f t="shared" si="36"/>
        <v>0</v>
      </c>
      <c r="G88" s="31"/>
      <c r="H88" s="31"/>
      <c r="I88" s="31">
        <f t="shared" si="37"/>
        <v>0</v>
      </c>
      <c r="J88" s="32">
        <f t="shared" si="38"/>
        <v>0</v>
      </c>
    </row>
    <row r="89" spans="1:13" s="41" customFormat="1" ht="63.6" customHeight="1">
      <c r="A89" s="428"/>
      <c r="B89" s="9" t="s">
        <v>177</v>
      </c>
      <c r="C89" s="10">
        <v>1</v>
      </c>
      <c r="D89" s="11">
        <v>10000</v>
      </c>
      <c r="E89" s="10">
        <v>0</v>
      </c>
      <c r="F89" s="31">
        <f t="shared" si="36"/>
        <v>0</v>
      </c>
      <c r="G89" s="31"/>
      <c r="H89" s="31"/>
      <c r="I89" s="31">
        <f t="shared" si="37"/>
        <v>0</v>
      </c>
      <c r="J89" s="32">
        <f t="shared" si="38"/>
        <v>0</v>
      </c>
    </row>
    <row r="90" spans="1:13" s="41" customFormat="1" ht="63.6" customHeight="1">
      <c r="A90" s="428"/>
      <c r="B90" s="9" t="s">
        <v>178</v>
      </c>
      <c r="C90" s="10">
        <v>1</v>
      </c>
      <c r="D90" s="11">
        <v>10000</v>
      </c>
      <c r="E90" s="10">
        <v>0</v>
      </c>
      <c r="F90" s="31">
        <f t="shared" si="36"/>
        <v>0</v>
      </c>
      <c r="G90" s="31"/>
      <c r="H90" s="31"/>
      <c r="I90" s="31">
        <f t="shared" si="37"/>
        <v>0</v>
      </c>
      <c r="J90" s="32">
        <f t="shared" si="38"/>
        <v>0</v>
      </c>
    </row>
    <row r="91" spans="1:13" s="41" customFormat="1" ht="63.6" customHeight="1" thickBot="1">
      <c r="A91" s="428"/>
      <c r="B91" s="42" t="s">
        <v>179</v>
      </c>
      <c r="C91" s="43">
        <v>1</v>
      </c>
      <c r="D91" s="11">
        <v>10000</v>
      </c>
      <c r="E91" s="43">
        <v>0</v>
      </c>
      <c r="F91" s="63">
        <f t="shared" si="36"/>
        <v>0</v>
      </c>
      <c r="G91" s="63"/>
      <c r="H91" s="63"/>
      <c r="I91" s="63">
        <f t="shared" si="37"/>
        <v>0</v>
      </c>
      <c r="J91" s="64">
        <f t="shared" si="38"/>
        <v>0</v>
      </c>
    </row>
    <row r="92" spans="1:13" s="41" customFormat="1" ht="54" customHeight="1">
      <c r="A92" s="93" t="s">
        <v>71</v>
      </c>
      <c r="B92" s="92" t="s">
        <v>180</v>
      </c>
      <c r="C92" s="94">
        <v>1</v>
      </c>
      <c r="D92" s="95">
        <v>0</v>
      </c>
      <c r="E92" s="94">
        <v>1</v>
      </c>
      <c r="F92" s="96">
        <f t="shared" si="36"/>
        <v>0</v>
      </c>
      <c r="G92" s="96"/>
      <c r="H92" s="96"/>
      <c r="I92" s="96">
        <f t="shared" si="37"/>
        <v>0</v>
      </c>
      <c r="J92" s="97">
        <f t="shared" si="38"/>
        <v>0</v>
      </c>
    </row>
    <row r="93" spans="1:13" s="41" customFormat="1" ht="45.6" customHeight="1">
      <c r="A93" s="427" t="s">
        <v>83</v>
      </c>
      <c r="B93" s="46" t="s">
        <v>181</v>
      </c>
      <c r="C93" s="47">
        <v>1</v>
      </c>
      <c r="D93" s="48">
        <v>0</v>
      </c>
      <c r="E93" s="47">
        <v>3</v>
      </c>
      <c r="F93" s="61">
        <f t="shared" si="36"/>
        <v>0</v>
      </c>
      <c r="G93" s="61"/>
      <c r="H93" s="61"/>
      <c r="I93" s="61">
        <f t="shared" si="37"/>
        <v>0</v>
      </c>
      <c r="J93" s="62">
        <f t="shared" si="38"/>
        <v>0</v>
      </c>
    </row>
    <row r="94" spans="1:13" s="41" customFormat="1" ht="45.6" customHeight="1">
      <c r="A94" s="428"/>
      <c r="B94" s="9" t="s">
        <v>182</v>
      </c>
      <c r="C94" s="10">
        <v>1</v>
      </c>
      <c r="D94" s="11">
        <v>0</v>
      </c>
      <c r="E94" s="10">
        <v>3</v>
      </c>
      <c r="F94" s="31">
        <f t="shared" ref="F94" si="39">SUM(C94*D94*E94)</f>
        <v>0</v>
      </c>
      <c r="G94" s="31"/>
      <c r="H94" s="31"/>
      <c r="I94" s="31">
        <f t="shared" ref="I94" si="40">F94*16%</f>
        <v>0</v>
      </c>
      <c r="J94" s="32">
        <f t="shared" ref="J94" si="41">I94+H94+G94+F94</f>
        <v>0</v>
      </c>
    </row>
    <row r="95" spans="1:13" s="41" customFormat="1" ht="45.6" customHeight="1">
      <c r="A95" s="428"/>
      <c r="B95" s="14" t="s">
        <v>183</v>
      </c>
      <c r="C95" s="15">
        <v>1</v>
      </c>
      <c r="D95" s="16">
        <v>0</v>
      </c>
      <c r="E95" s="15">
        <v>3</v>
      </c>
      <c r="F95" s="33">
        <f t="shared" ref="F95" si="42">SUM(C95*D95*E95)</f>
        <v>0</v>
      </c>
      <c r="G95" s="33"/>
      <c r="H95" s="33"/>
      <c r="I95" s="33">
        <f t="shared" ref="I95" si="43">F95*16%</f>
        <v>0</v>
      </c>
      <c r="J95" s="34">
        <f t="shared" ref="J95" si="44">I95+H95+G95+F95</f>
        <v>0</v>
      </c>
    </row>
    <row r="96" spans="1:13" s="41" customFormat="1" ht="27.6" customHeight="1">
      <c r="A96" s="429"/>
      <c r="B96" s="51" t="s">
        <v>184</v>
      </c>
      <c r="C96" s="52">
        <v>1</v>
      </c>
      <c r="D96" s="54">
        <v>0</v>
      </c>
      <c r="E96" s="52">
        <v>1</v>
      </c>
      <c r="F96" s="53">
        <f t="shared" si="36"/>
        <v>0</v>
      </c>
      <c r="G96" s="53"/>
      <c r="H96" s="53"/>
      <c r="I96" s="53">
        <f t="shared" si="37"/>
        <v>0</v>
      </c>
      <c r="J96" s="55">
        <f t="shared" si="38"/>
        <v>0</v>
      </c>
    </row>
    <row r="97" spans="1:10" s="41" customFormat="1" ht="36.75">
      <c r="A97" s="455" t="s">
        <v>127</v>
      </c>
      <c r="B97" s="70" t="s">
        <v>185</v>
      </c>
      <c r="C97" s="72">
        <v>1</v>
      </c>
      <c r="D97" s="74">
        <v>0</v>
      </c>
      <c r="E97" s="72">
        <v>3</v>
      </c>
      <c r="F97" s="71">
        <f t="shared" si="36"/>
        <v>0</v>
      </c>
      <c r="G97" s="71"/>
      <c r="H97" s="71"/>
      <c r="I97" s="71">
        <f t="shared" si="37"/>
        <v>0</v>
      </c>
      <c r="J97" s="73">
        <f t="shared" si="38"/>
        <v>0</v>
      </c>
    </row>
    <row r="98" spans="1:10" s="41" customFormat="1" ht="36.75">
      <c r="A98" s="435"/>
      <c r="B98" s="129" t="s">
        <v>186</v>
      </c>
      <c r="C98" s="10">
        <v>1</v>
      </c>
      <c r="D98" s="11">
        <v>0</v>
      </c>
      <c r="E98" s="10">
        <v>3</v>
      </c>
      <c r="F98" s="31">
        <f t="shared" si="36"/>
        <v>0</v>
      </c>
      <c r="G98" s="31"/>
      <c r="H98" s="31"/>
      <c r="I98" s="31">
        <f t="shared" si="37"/>
        <v>0</v>
      </c>
      <c r="J98" s="32">
        <f t="shared" si="38"/>
        <v>0</v>
      </c>
    </row>
    <row r="99" spans="1:10" s="41" customFormat="1" ht="36.75">
      <c r="A99" s="435"/>
      <c r="B99" s="129" t="s">
        <v>187</v>
      </c>
      <c r="C99" s="10">
        <v>1</v>
      </c>
      <c r="D99" s="11">
        <v>0</v>
      </c>
      <c r="E99" s="10">
        <v>3</v>
      </c>
      <c r="F99" s="31">
        <f t="shared" si="36"/>
        <v>0</v>
      </c>
      <c r="G99" s="31"/>
      <c r="H99" s="31"/>
      <c r="I99" s="31">
        <f t="shared" si="37"/>
        <v>0</v>
      </c>
      <c r="J99" s="32">
        <f t="shared" si="38"/>
        <v>0</v>
      </c>
    </row>
    <row r="100" spans="1:10" s="41" customFormat="1" ht="36.75">
      <c r="A100" s="435"/>
      <c r="B100" s="129" t="s">
        <v>188</v>
      </c>
      <c r="C100" s="10">
        <v>1</v>
      </c>
      <c r="D100" s="11">
        <v>0</v>
      </c>
      <c r="E100" s="10">
        <v>3</v>
      </c>
      <c r="F100" s="31">
        <f t="shared" si="36"/>
        <v>0</v>
      </c>
      <c r="G100" s="31"/>
      <c r="H100" s="31"/>
      <c r="I100" s="31">
        <f t="shared" si="37"/>
        <v>0</v>
      </c>
      <c r="J100" s="32">
        <f t="shared" si="38"/>
        <v>0</v>
      </c>
    </row>
    <row r="101" spans="1:10" s="41" customFormat="1" ht="36.75">
      <c r="A101" s="435"/>
      <c r="B101" s="129" t="s">
        <v>189</v>
      </c>
      <c r="C101" s="10">
        <v>1</v>
      </c>
      <c r="D101" s="11">
        <v>0</v>
      </c>
      <c r="E101" s="10">
        <v>3</v>
      </c>
      <c r="F101" s="31">
        <f t="shared" si="36"/>
        <v>0</v>
      </c>
      <c r="G101" s="31"/>
      <c r="H101" s="31"/>
      <c r="I101" s="31">
        <f t="shared" si="37"/>
        <v>0</v>
      </c>
      <c r="J101" s="32">
        <f t="shared" si="38"/>
        <v>0</v>
      </c>
    </row>
    <row r="102" spans="1:10" s="41" customFormat="1" ht="36.75">
      <c r="A102" s="435"/>
      <c r="B102" s="129" t="s">
        <v>190</v>
      </c>
      <c r="C102" s="10">
        <v>1</v>
      </c>
      <c r="D102" s="11">
        <v>0</v>
      </c>
      <c r="E102" s="10">
        <v>3</v>
      </c>
      <c r="F102" s="31">
        <f t="shared" ref="F102" si="45">SUM(C102*D102*E102)</f>
        <v>0</v>
      </c>
      <c r="G102" s="31"/>
      <c r="H102" s="31"/>
      <c r="I102" s="31">
        <f t="shared" ref="I102" si="46">F102*16%</f>
        <v>0</v>
      </c>
      <c r="J102" s="32">
        <f t="shared" ref="J102" si="47">I102+H102+G102+F102</f>
        <v>0</v>
      </c>
    </row>
    <row r="103" spans="1:10" s="41" customFormat="1" ht="36.75">
      <c r="A103" s="436"/>
      <c r="B103" s="244" t="s">
        <v>191</v>
      </c>
      <c r="C103" s="15">
        <v>1</v>
      </c>
      <c r="D103" s="16">
        <v>0</v>
      </c>
      <c r="E103" s="15">
        <v>3</v>
      </c>
      <c r="F103" s="33">
        <f t="shared" si="36"/>
        <v>0</v>
      </c>
      <c r="G103" s="33"/>
      <c r="H103" s="33"/>
      <c r="I103" s="33">
        <f t="shared" si="37"/>
        <v>0</v>
      </c>
      <c r="J103" s="34">
        <f t="shared" si="38"/>
        <v>0</v>
      </c>
    </row>
    <row r="104" spans="1:10" ht="15" thickBot="1">
      <c r="A104" s="18"/>
      <c r="B104" s="19" t="s">
        <v>78</v>
      </c>
      <c r="C104" s="20"/>
      <c r="D104" s="21"/>
      <c r="E104" s="20"/>
      <c r="F104" s="38">
        <f>SUM(F84:F103)</f>
        <v>0</v>
      </c>
      <c r="G104" s="38">
        <f>SUM(G84:G103)</f>
        <v>0</v>
      </c>
      <c r="H104" s="38">
        <f>SUM(H84:H103)</f>
        <v>0</v>
      </c>
      <c r="I104" s="38">
        <f>SUM(I84:I103)</f>
        <v>0</v>
      </c>
      <c r="J104" s="38">
        <f>SUM(J84:J103)</f>
        <v>0</v>
      </c>
    </row>
    <row r="105" spans="1:10" ht="15" thickBot="1">
      <c r="A105" s="23"/>
      <c r="B105" s="28" t="s">
        <v>135</v>
      </c>
      <c r="C105" s="82"/>
      <c r="D105" s="83"/>
      <c r="E105" s="82"/>
      <c r="F105" s="83">
        <f>F104</f>
        <v>0</v>
      </c>
      <c r="G105" s="83">
        <f>G104</f>
        <v>0</v>
      </c>
      <c r="H105" s="83">
        <f>H104</f>
        <v>0</v>
      </c>
      <c r="I105" s="83">
        <f>I104</f>
        <v>0</v>
      </c>
      <c r="J105" s="37">
        <f>J104</f>
        <v>0</v>
      </c>
    </row>
    <row r="106" spans="1:10" ht="15" thickBot="1">
      <c r="A106" s="23"/>
      <c r="B106" s="29"/>
      <c r="C106" s="20"/>
      <c r="D106" s="30"/>
      <c r="E106" s="20"/>
      <c r="F106" s="30"/>
      <c r="G106" s="30"/>
      <c r="H106" s="30"/>
      <c r="I106" s="30"/>
      <c r="J106" s="30"/>
    </row>
    <row r="107" spans="1:10" ht="15" thickBot="1">
      <c r="A107" s="431" t="s">
        <v>136</v>
      </c>
      <c r="B107" s="432"/>
      <c r="C107" s="7"/>
      <c r="D107" s="7"/>
      <c r="E107" s="7"/>
      <c r="F107" s="7"/>
      <c r="G107" s="7"/>
      <c r="H107" s="7"/>
      <c r="I107" s="7"/>
      <c r="J107" s="7"/>
    </row>
    <row r="108" spans="1:10" ht="15" thickBot="1">
      <c r="A108" s="78" t="s">
        <v>62</v>
      </c>
      <c r="B108" s="79" t="s">
        <v>13</v>
      </c>
      <c r="C108" s="80" t="s">
        <v>63</v>
      </c>
      <c r="D108" s="80" t="s">
        <v>64</v>
      </c>
      <c r="E108" s="80" t="s">
        <v>65</v>
      </c>
      <c r="F108" s="80" t="s">
        <v>66</v>
      </c>
      <c r="G108" s="80" t="s">
        <v>67</v>
      </c>
      <c r="H108" s="80" t="s">
        <v>68</v>
      </c>
      <c r="I108" s="80" t="s">
        <v>69</v>
      </c>
      <c r="J108" s="8" t="s">
        <v>70</v>
      </c>
    </row>
    <row r="109" spans="1:10" s="41" customFormat="1">
      <c r="A109" s="427" t="s">
        <v>137</v>
      </c>
      <c r="B109" s="70" t="s">
        <v>155</v>
      </c>
      <c r="C109" s="72">
        <v>4</v>
      </c>
      <c r="D109" s="74">
        <v>7704.6581999999999</v>
      </c>
      <c r="E109" s="72">
        <v>5</v>
      </c>
      <c r="F109" s="74">
        <f>SUM(C109*D109*E109)</f>
        <v>154093.16399999999</v>
      </c>
      <c r="G109" s="74">
        <f>192.6165*C109*E109</f>
        <v>3852.33</v>
      </c>
      <c r="H109" s="74">
        <f>425.98*C109*E109</f>
        <v>8519.6</v>
      </c>
      <c r="I109" s="74">
        <f>(F109+G109+H109)*16%</f>
        <v>26634.415039999996</v>
      </c>
      <c r="J109" s="81">
        <f t="shared" ref="J109:J110" si="48">I109+H109+G109+F109</f>
        <v>193099.50903999998</v>
      </c>
    </row>
    <row r="110" spans="1:10" s="41" customFormat="1" ht="15" thickBot="1">
      <c r="A110" s="428"/>
      <c r="B110" s="42" t="s">
        <v>73</v>
      </c>
      <c r="C110" s="43">
        <v>4</v>
      </c>
      <c r="D110" s="44">
        <v>93.94</v>
      </c>
      <c r="E110" s="43">
        <v>5</v>
      </c>
      <c r="F110" s="44"/>
      <c r="G110" s="44"/>
      <c r="H110" s="44">
        <f>E110*D110*C110</f>
        <v>1878.8</v>
      </c>
      <c r="I110" s="44">
        <v>0</v>
      </c>
      <c r="J110" s="45">
        <f t="shared" si="48"/>
        <v>1878.8</v>
      </c>
    </row>
    <row r="111" spans="1:10" s="41" customFormat="1">
      <c r="A111" s="428"/>
      <c r="B111" s="70" t="s">
        <v>155</v>
      </c>
      <c r="C111" s="72">
        <v>1</v>
      </c>
      <c r="D111" s="74">
        <v>7704.6581999999999</v>
      </c>
      <c r="E111" s="72">
        <v>5</v>
      </c>
      <c r="F111" s="74">
        <f>SUM(C111*D111*E111)</f>
        <v>38523.290999999997</v>
      </c>
      <c r="G111" s="74">
        <f>192.6165*C111*E111</f>
        <v>963.08249999999998</v>
      </c>
      <c r="H111" s="74">
        <f>425.98*C111*E111</f>
        <v>2129.9</v>
      </c>
      <c r="I111" s="74">
        <f>(F111+G111+H111)*16%</f>
        <v>6658.6037599999991</v>
      </c>
      <c r="J111" s="81">
        <f t="shared" ref="J111:J112" si="49">I111+H111+G111+F111</f>
        <v>48274.877259999994</v>
      </c>
    </row>
    <row r="112" spans="1:10" s="41" customFormat="1" ht="15" thickBot="1">
      <c r="A112" s="428"/>
      <c r="B112" s="42" t="s">
        <v>73</v>
      </c>
      <c r="C112" s="43">
        <v>1</v>
      </c>
      <c r="D112" s="44">
        <v>93.94</v>
      </c>
      <c r="E112" s="43">
        <v>5</v>
      </c>
      <c r="F112" s="44"/>
      <c r="G112" s="44"/>
      <c r="H112" s="44">
        <f>E112*D112*C112</f>
        <v>469.7</v>
      </c>
      <c r="I112" s="44">
        <v>0</v>
      </c>
      <c r="J112" s="45">
        <f t="shared" si="49"/>
        <v>469.7</v>
      </c>
    </row>
    <row r="113" spans="1:10" s="41" customFormat="1" ht="15">
      <c r="A113" s="428"/>
      <c r="B113" s="528" t="s">
        <v>140</v>
      </c>
      <c r="C113" s="529">
        <v>10</v>
      </c>
      <c r="D113" s="530">
        <v>6046</v>
      </c>
      <c r="E113" s="529">
        <v>1</v>
      </c>
      <c r="F113" s="530">
        <f>SUM(C113*D113*E113)</f>
        <v>60460</v>
      </c>
      <c r="G113" s="530">
        <v>0</v>
      </c>
      <c r="H113" s="530">
        <f>2355*C113</f>
        <v>23550</v>
      </c>
      <c r="I113" s="530">
        <f>968*C113</f>
        <v>9680</v>
      </c>
      <c r="J113" s="530">
        <f>I113+H113+G113+F113</f>
        <v>93690</v>
      </c>
    </row>
    <row r="114" spans="1:10" s="41" customFormat="1" ht="15">
      <c r="A114" s="428"/>
      <c r="B114" s="528" t="s">
        <v>141</v>
      </c>
      <c r="C114" s="529">
        <v>10</v>
      </c>
      <c r="D114" s="530">
        <v>230</v>
      </c>
      <c r="E114" s="529">
        <v>1</v>
      </c>
      <c r="F114" s="530">
        <f>C114*D114*E114</f>
        <v>2300</v>
      </c>
      <c r="G114" s="530"/>
      <c r="H114" s="530"/>
      <c r="I114" s="530">
        <f>F114*16%</f>
        <v>368</v>
      </c>
      <c r="J114" s="530">
        <f>SUM(F114:I114)</f>
        <v>2668</v>
      </c>
    </row>
    <row r="115" spans="1:10" s="41" customFormat="1" ht="19.899999999999999" customHeight="1">
      <c r="A115" s="429"/>
      <c r="B115" s="9" t="s">
        <v>142</v>
      </c>
      <c r="C115" s="10">
        <v>10</v>
      </c>
      <c r="D115" s="11">
        <v>1500</v>
      </c>
      <c r="E115" s="10">
        <v>5</v>
      </c>
      <c r="F115" s="11">
        <f t="shared" ref="F115" si="50">SUM(C115*D115*E115)</f>
        <v>75000</v>
      </c>
      <c r="G115" s="11">
        <v>0</v>
      </c>
      <c r="H115" s="11">
        <v>0</v>
      </c>
      <c r="I115" s="11">
        <f t="shared" ref="I115" si="51">(F115*16%)+(G115*16%)+(H115*16%)</f>
        <v>12000</v>
      </c>
      <c r="J115" s="12">
        <f t="shared" ref="J115" si="52">I115+H115+G115+F115</f>
        <v>87000</v>
      </c>
    </row>
    <row r="116" spans="1:10" ht="15" thickBot="1">
      <c r="A116" s="18"/>
      <c r="B116" s="19" t="s">
        <v>78</v>
      </c>
      <c r="C116" s="35"/>
      <c r="D116" s="36"/>
      <c r="E116" s="35"/>
      <c r="F116" s="65">
        <f>SUM(F109:F115)</f>
        <v>330376.45499999996</v>
      </c>
      <c r="G116" s="65">
        <f>SUM(G109:G115)</f>
        <v>4815.4125000000004</v>
      </c>
      <c r="H116" s="65">
        <f t="shared" ref="H116:J116" si="53">SUM(H109:H115)</f>
        <v>36548</v>
      </c>
      <c r="I116" s="65">
        <f t="shared" si="53"/>
        <v>55341.018799999998</v>
      </c>
      <c r="J116" s="65">
        <f t="shared" si="53"/>
        <v>427080.88629999995</v>
      </c>
    </row>
    <row r="117" spans="1:10" ht="27" thickBot="1">
      <c r="A117" s="23"/>
      <c r="B117" s="28" t="s">
        <v>143</v>
      </c>
      <c r="C117" s="82"/>
      <c r="D117" s="83"/>
      <c r="E117" s="82"/>
      <c r="F117" s="83">
        <f>F116</f>
        <v>330376.45499999996</v>
      </c>
      <c r="G117" s="83">
        <f>G116</f>
        <v>4815.4125000000004</v>
      </c>
      <c r="H117" s="83">
        <f>H116</f>
        <v>36548</v>
      </c>
      <c r="I117" s="83">
        <f>I116</f>
        <v>55341.018799999998</v>
      </c>
      <c r="J117" s="83">
        <f>J116</f>
        <v>427080.88629999995</v>
      </c>
    </row>
    <row r="118" spans="1:10">
      <c r="A118" s="23"/>
      <c r="B118" s="24"/>
      <c r="C118" s="25"/>
      <c r="D118" s="26"/>
      <c r="E118" s="25"/>
      <c r="F118" s="26"/>
      <c r="G118" s="26"/>
      <c r="H118" s="26"/>
      <c r="I118" s="26"/>
      <c r="J118" s="26"/>
    </row>
    <row r="119" spans="1:10" ht="24" thickBot="1">
      <c r="A119" s="430" t="s">
        <v>1</v>
      </c>
      <c r="B119" s="430"/>
      <c r="C119" s="430"/>
      <c r="D119" s="430"/>
      <c r="E119" s="430"/>
      <c r="F119" s="26"/>
      <c r="G119" s="26"/>
      <c r="H119" s="26"/>
      <c r="I119" s="26"/>
      <c r="J119" s="26"/>
    </row>
    <row r="120" spans="1:10" ht="15" thickBot="1">
      <c r="A120" s="39"/>
      <c r="B120" s="85"/>
      <c r="C120" s="82"/>
      <c r="D120" s="83"/>
      <c r="E120" s="86" t="s">
        <v>144</v>
      </c>
      <c r="F120" s="83">
        <f>F28</f>
        <v>5011579.8884999994</v>
      </c>
      <c r="G120" s="83">
        <f>G28</f>
        <v>124234.82</v>
      </c>
      <c r="H120" s="83">
        <f>H28</f>
        <v>322743.87999999995</v>
      </c>
      <c r="I120" s="83">
        <f>I28</f>
        <v>863374.15816000011</v>
      </c>
      <c r="J120" s="83">
        <f>SUM(F120:I120)</f>
        <v>6321932.7466599997</v>
      </c>
    </row>
    <row r="121" spans="1:10" ht="15" thickBot="1">
      <c r="A121" s="39"/>
      <c r="B121" s="85"/>
      <c r="C121" s="82"/>
      <c r="D121" s="83"/>
      <c r="E121" s="86" t="s">
        <v>145</v>
      </c>
      <c r="F121" s="83">
        <f>F58</f>
        <v>795400</v>
      </c>
      <c r="G121" s="83">
        <f>G58</f>
        <v>0</v>
      </c>
      <c r="H121" s="83">
        <f>H58</f>
        <v>119310</v>
      </c>
      <c r="I121" s="83">
        <f>I58</f>
        <v>146353.60000000001</v>
      </c>
      <c r="J121" s="83">
        <f>SUM(F121:I121)</f>
        <v>1061063.6000000001</v>
      </c>
    </row>
    <row r="122" spans="1:10" ht="15" thickBot="1">
      <c r="A122" s="39"/>
      <c r="B122" s="85"/>
      <c r="C122" s="82"/>
      <c r="D122" s="83"/>
      <c r="E122" s="86" t="s">
        <v>146</v>
      </c>
      <c r="F122" s="83">
        <f>F73</f>
        <v>262440</v>
      </c>
      <c r="G122" s="83">
        <f>G73</f>
        <v>0</v>
      </c>
      <c r="H122" s="83">
        <f>H73</f>
        <v>15746.4</v>
      </c>
      <c r="I122" s="83">
        <f>I73</f>
        <v>41990.400000000009</v>
      </c>
      <c r="J122" s="83">
        <f>SUM(F122:I122)</f>
        <v>320176.80000000005</v>
      </c>
    </row>
    <row r="123" spans="1:10" ht="15" thickBot="1">
      <c r="A123" s="39"/>
      <c r="B123" s="85"/>
      <c r="C123" s="82"/>
      <c r="D123" s="83"/>
      <c r="E123" s="86" t="str">
        <f>A75</f>
        <v>TELEMARKETING</v>
      </c>
      <c r="F123" s="83">
        <f>F80</f>
        <v>0</v>
      </c>
      <c r="G123" s="83">
        <f>G80</f>
        <v>0</v>
      </c>
      <c r="H123" s="83">
        <f>H80</f>
        <v>0</v>
      </c>
      <c r="I123" s="83">
        <f>I80</f>
        <v>0</v>
      </c>
      <c r="J123" s="83">
        <f>SUM(F123:I123)</f>
        <v>0</v>
      </c>
    </row>
    <row r="124" spans="1:10" ht="15" thickBot="1">
      <c r="A124" s="39"/>
      <c r="B124" s="85"/>
      <c r="C124" s="82"/>
      <c r="D124" s="83"/>
      <c r="E124" s="86" t="s">
        <v>30</v>
      </c>
      <c r="F124" s="83">
        <f>F105</f>
        <v>0</v>
      </c>
      <c r="G124" s="83">
        <f>G105</f>
        <v>0</v>
      </c>
      <c r="H124" s="83">
        <f>H105</f>
        <v>0</v>
      </c>
      <c r="I124" s="83">
        <f>I105</f>
        <v>0</v>
      </c>
      <c r="J124" s="83">
        <f>SUM(F124:I124)</f>
        <v>0</v>
      </c>
    </row>
    <row r="125" spans="1:10" ht="15" thickBot="1">
      <c r="A125" s="40"/>
      <c r="B125" s="87"/>
      <c r="C125" s="88"/>
      <c r="D125" s="89"/>
      <c r="E125" s="90" t="s">
        <v>147</v>
      </c>
      <c r="F125" s="89">
        <f>SUM(F120:F124)</f>
        <v>6069419.8884999994</v>
      </c>
      <c r="G125" s="89">
        <f t="shared" ref="G125:I125" si="54">SUM(G120:G124)</f>
        <v>124234.82</v>
      </c>
      <c r="H125" s="89">
        <f t="shared" si="54"/>
        <v>457800.27999999997</v>
      </c>
      <c r="I125" s="89">
        <f t="shared" si="54"/>
        <v>1051718.1581600001</v>
      </c>
      <c r="J125" s="89">
        <f>SUM(J120:J124)</f>
        <v>7703173.1466599992</v>
      </c>
    </row>
    <row r="126" spans="1:10" ht="15" thickBot="1">
      <c r="A126" s="39"/>
      <c r="B126" s="85"/>
      <c r="C126" s="82"/>
      <c r="D126" s="83"/>
      <c r="E126" s="86" t="s">
        <v>148</v>
      </c>
      <c r="F126" s="83">
        <f>(F120+F121+F122+F123+F124)*6%</f>
        <v>364165.19330999994</v>
      </c>
      <c r="G126" s="83"/>
      <c r="H126" s="83"/>
      <c r="I126" s="83">
        <f>F126*16%</f>
        <v>58266.430929599992</v>
      </c>
      <c r="J126" s="83">
        <f>SUM(F126:I126)</f>
        <v>422431.62423959991</v>
      </c>
    </row>
    <row r="127" spans="1:10" ht="15" thickBot="1">
      <c r="A127" s="39"/>
      <c r="B127" s="85"/>
      <c r="C127" s="82"/>
      <c r="D127" s="83"/>
      <c r="E127" s="86" t="s">
        <v>149</v>
      </c>
      <c r="F127" s="83">
        <f>F117</f>
        <v>330376.45499999996</v>
      </c>
      <c r="G127" s="83">
        <f>G117</f>
        <v>4815.4125000000004</v>
      </c>
      <c r="H127" s="83">
        <f>H117</f>
        <v>36548</v>
      </c>
      <c r="I127" s="83">
        <f>I117</f>
        <v>55341.018799999998</v>
      </c>
      <c r="J127" s="83">
        <f>SUM(F127:I127)</f>
        <v>427080.88629999995</v>
      </c>
    </row>
    <row r="128" spans="1:10" ht="15" thickBot="1">
      <c r="A128" s="40"/>
      <c r="B128" s="87"/>
      <c r="C128" s="88"/>
      <c r="D128" s="89"/>
      <c r="E128" s="90" t="s">
        <v>150</v>
      </c>
      <c r="F128" s="89">
        <f>SUM(F125:F127)</f>
        <v>6763961.5368099995</v>
      </c>
      <c r="G128" s="89">
        <f>SUM(G125:G127)</f>
        <v>129050.23250000001</v>
      </c>
      <c r="H128" s="89">
        <f>SUM(H125:H127)</f>
        <v>494348.27999999997</v>
      </c>
      <c r="I128" s="89">
        <f>SUM(I125:I127)</f>
        <v>1165325.6078896001</v>
      </c>
      <c r="J128" s="89">
        <f>SUM(J125:J127)</f>
        <v>8552685.6571995988</v>
      </c>
    </row>
    <row r="130" spans="1:1">
      <c r="A130" s="98" t="s">
        <v>192</v>
      </c>
    </row>
    <row r="131" spans="1:1">
      <c r="A131" s="98" t="s">
        <v>151</v>
      </c>
    </row>
    <row r="132" spans="1:1" ht="15"/>
    <row r="133" spans="1:1" ht="15"/>
    <row r="134" spans="1:1" ht="15"/>
    <row r="135" spans="1:1" ht="15"/>
    <row r="136" spans="1:1" ht="15"/>
    <row r="137" spans="1:1" ht="15"/>
    <row r="138" spans="1:1" ht="15"/>
    <row r="139" spans="1:1" ht="15"/>
  </sheetData>
  <mergeCells count="29">
    <mergeCell ref="A19:A20"/>
    <mergeCell ref="A21:A25"/>
    <mergeCell ref="A35:A42"/>
    <mergeCell ref="A84:A91"/>
    <mergeCell ref="A97:A103"/>
    <mergeCell ref="A31:B31"/>
    <mergeCell ref="A33:A34"/>
    <mergeCell ref="A43:A48"/>
    <mergeCell ref="A107:B107"/>
    <mergeCell ref="A109:A115"/>
    <mergeCell ref="A119:E119"/>
    <mergeCell ref="A49:A55"/>
    <mergeCell ref="A61:B61"/>
    <mergeCell ref="A63:A69"/>
    <mergeCell ref="A70:A71"/>
    <mergeCell ref="A75:B75"/>
    <mergeCell ref="A82:B82"/>
    <mergeCell ref="A93:A96"/>
    <mergeCell ref="B12:J12"/>
    <mergeCell ref="B13:J13"/>
    <mergeCell ref="F14:G14"/>
    <mergeCell ref="H14:J14"/>
    <mergeCell ref="A17:B17"/>
    <mergeCell ref="B11:J11"/>
    <mergeCell ref="A1:J5"/>
    <mergeCell ref="B7:J7"/>
    <mergeCell ref="B8:J8"/>
    <mergeCell ref="B9:J9"/>
    <mergeCell ref="B10:J10"/>
  </mergeCells>
  <pageMargins left="0.7" right="0.7" top="0.75" bottom="0.75" header="0.3" footer="0.3"/>
  <ignoredErrors>
    <ignoredError sqref="H20:H21 H110:H111 H2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9D90-0EE6-42C3-8630-4E94787E4270}">
  <sheetPr codeName="Hoja1">
    <tabColor theme="0"/>
  </sheetPr>
  <dimension ref="A1:N133"/>
  <sheetViews>
    <sheetView zoomScale="90" zoomScaleNormal="90" workbookViewId="0">
      <selection activeCell="B9" sqref="B9:J9"/>
    </sheetView>
  </sheetViews>
  <sheetFormatPr defaultColWidth="8.85546875" defaultRowHeight="14.45"/>
  <cols>
    <col min="1" max="1" width="20.7109375" customWidth="1"/>
    <col min="2" max="2" width="49.140625" customWidth="1"/>
    <col min="3" max="3" width="10.5703125" customWidth="1"/>
    <col min="4" max="5" width="13.85546875" customWidth="1"/>
    <col min="6" max="6" width="16.85546875" customWidth="1"/>
    <col min="7" max="8" width="13.85546875" customWidth="1"/>
    <col min="9" max="9" width="15.28515625" bestFit="1" customWidth="1"/>
    <col min="10" max="10" width="19.28515625" customWidth="1"/>
  </cols>
  <sheetData>
    <row r="1" spans="1:10" ht="15" thickTop="1">
      <c r="A1" s="438" t="s">
        <v>44</v>
      </c>
      <c r="B1" s="439"/>
      <c r="C1" s="439"/>
      <c r="D1" s="439"/>
      <c r="E1" s="439"/>
      <c r="F1" s="439"/>
      <c r="G1" s="439"/>
      <c r="H1" s="439"/>
      <c r="I1" s="439"/>
      <c r="J1" s="440"/>
    </row>
    <row r="2" spans="1:10">
      <c r="A2" s="441"/>
      <c r="B2" s="442"/>
      <c r="C2" s="442"/>
      <c r="D2" s="442"/>
      <c r="E2" s="442"/>
      <c r="F2" s="442"/>
      <c r="G2" s="442"/>
      <c r="H2" s="442"/>
      <c r="I2" s="442"/>
      <c r="J2" s="443"/>
    </row>
    <row r="3" spans="1:10">
      <c r="A3" s="441"/>
      <c r="B3" s="442"/>
      <c r="C3" s="442"/>
      <c r="D3" s="442"/>
      <c r="E3" s="442"/>
      <c r="F3" s="442"/>
      <c r="G3" s="442"/>
      <c r="H3" s="442"/>
      <c r="I3" s="442"/>
      <c r="J3" s="443"/>
    </row>
    <row r="4" spans="1:10">
      <c r="A4" s="441"/>
      <c r="B4" s="442"/>
      <c r="C4" s="442"/>
      <c r="D4" s="442"/>
      <c r="E4" s="442"/>
      <c r="F4" s="442"/>
      <c r="G4" s="442"/>
      <c r="H4" s="442"/>
      <c r="I4" s="442"/>
      <c r="J4" s="443"/>
    </row>
    <row r="5" spans="1:10" ht="15" thickBot="1">
      <c r="A5" s="444"/>
      <c r="B5" s="445"/>
      <c r="C5" s="445"/>
      <c r="D5" s="445"/>
      <c r="E5" s="445"/>
      <c r="F5" s="445"/>
      <c r="G5" s="445"/>
      <c r="H5" s="445"/>
      <c r="I5" s="445"/>
      <c r="J5" s="446"/>
    </row>
    <row r="6" spans="1:10" ht="15" thickTop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 customHeight="1">
      <c r="A7" s="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6">
      <c r="A8" s="2" t="s">
        <v>46</v>
      </c>
      <c r="B8" s="448" t="s">
        <v>193</v>
      </c>
      <c r="C8" s="448"/>
      <c r="D8" s="448"/>
      <c r="E8" s="448"/>
      <c r="F8" s="448"/>
      <c r="G8" s="448"/>
      <c r="H8" s="448"/>
      <c r="I8" s="448"/>
      <c r="J8" s="448"/>
    </row>
    <row r="9" spans="1:10" ht="15.6">
      <c r="A9" s="2" t="s">
        <v>48</v>
      </c>
      <c r="B9" s="449" t="s">
        <v>194</v>
      </c>
      <c r="C9" s="449"/>
      <c r="D9" s="449"/>
      <c r="E9" s="449"/>
      <c r="F9" s="449"/>
      <c r="G9" s="449"/>
      <c r="H9" s="449"/>
      <c r="I9" s="449"/>
      <c r="J9" s="449"/>
    </row>
    <row r="10" spans="1:10" ht="15.6">
      <c r="A10" s="2" t="s">
        <v>50</v>
      </c>
      <c r="B10" s="450" t="s">
        <v>195</v>
      </c>
      <c r="C10" s="450"/>
      <c r="D10" s="450"/>
      <c r="E10" s="450"/>
      <c r="F10" s="450"/>
      <c r="G10" s="450"/>
      <c r="H10" s="450"/>
      <c r="I10" s="450"/>
      <c r="J10" s="450"/>
    </row>
    <row r="11" spans="1:10" ht="15.75">
      <c r="A11" s="2" t="s">
        <v>52</v>
      </c>
      <c r="B11" s="450" t="s">
        <v>154</v>
      </c>
      <c r="C11" s="450"/>
      <c r="D11" s="450"/>
      <c r="E11" s="450"/>
      <c r="F11" s="450"/>
      <c r="G11" s="450"/>
      <c r="H11" s="450"/>
      <c r="I11" s="450"/>
      <c r="J11" s="450"/>
    </row>
    <row r="12" spans="1:10" ht="15.6" customHeight="1">
      <c r="A12" s="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2" t="s">
        <v>56</v>
      </c>
      <c r="B13" s="450"/>
      <c r="C13" s="450"/>
      <c r="D13" s="450"/>
      <c r="E13" s="450"/>
      <c r="F13" s="450"/>
      <c r="G13" s="450"/>
      <c r="H13" s="450"/>
      <c r="I13" s="450"/>
      <c r="J13" s="450"/>
    </row>
    <row r="14" spans="1:10">
      <c r="A14" s="3" t="s">
        <v>57</v>
      </c>
      <c r="B14" s="4" t="s">
        <v>58</v>
      </c>
      <c r="C14" s="5" t="s">
        <v>59</v>
      </c>
      <c r="D14" s="6">
        <v>0</v>
      </c>
      <c r="E14" s="7"/>
      <c r="F14" s="451" t="s">
        <v>60</v>
      </c>
      <c r="G14" s="451"/>
      <c r="H14" s="452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" thickBo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 thickBot="1">
      <c r="A17" s="431" t="s">
        <v>61</v>
      </c>
      <c r="B17" s="432"/>
      <c r="C17" s="7"/>
      <c r="D17" s="7"/>
      <c r="E17" s="7"/>
      <c r="F17" s="7"/>
      <c r="G17" s="7"/>
      <c r="H17" s="7"/>
      <c r="I17" s="7"/>
      <c r="J17" s="7"/>
    </row>
    <row r="18" spans="1:10" ht="15" thickBot="1">
      <c r="A18" s="78" t="s">
        <v>62</v>
      </c>
      <c r="B18" s="79" t="s">
        <v>13</v>
      </c>
      <c r="C18" s="80" t="s">
        <v>63</v>
      </c>
      <c r="D18" s="80" t="s">
        <v>64</v>
      </c>
      <c r="E18" s="80" t="s">
        <v>65</v>
      </c>
      <c r="F18" s="80" t="s">
        <v>66</v>
      </c>
      <c r="G18" s="80" t="s">
        <v>67</v>
      </c>
      <c r="H18" s="80" t="s">
        <v>68</v>
      </c>
      <c r="I18" s="80" t="s">
        <v>69</v>
      </c>
      <c r="J18" s="8" t="s">
        <v>70</v>
      </c>
    </row>
    <row r="19" spans="1:10" s="41" customFormat="1">
      <c r="A19" s="427" t="s">
        <v>71</v>
      </c>
      <c r="B19" s="70" t="s">
        <v>72</v>
      </c>
      <c r="C19" s="72">
        <v>5</v>
      </c>
      <c r="D19" s="74">
        <v>7526.7</v>
      </c>
      <c r="E19" s="72">
        <v>1</v>
      </c>
      <c r="F19" s="74">
        <f>SUM(C19*D19*E19)</f>
        <v>37633.5</v>
      </c>
      <c r="G19" s="74">
        <f>188.2*C19*E19</f>
        <v>941</v>
      </c>
      <c r="H19" s="74">
        <f>198.6*C19*E19</f>
        <v>993</v>
      </c>
      <c r="I19" s="74">
        <f>(F19+G19+H19)*16%</f>
        <v>6330.8</v>
      </c>
      <c r="J19" s="81">
        <f>I19+H19+G19+F19</f>
        <v>45898.3</v>
      </c>
    </row>
    <row r="20" spans="1:10" s="41" customFormat="1" ht="15">
      <c r="A20" s="429"/>
      <c r="B20" s="14" t="s">
        <v>73</v>
      </c>
      <c r="C20" s="15">
        <v>5</v>
      </c>
      <c r="D20" s="16">
        <v>82.4</v>
      </c>
      <c r="E20" s="15">
        <v>1</v>
      </c>
      <c r="F20" s="16"/>
      <c r="G20" s="16"/>
      <c r="H20" s="16">
        <f>E20*D20*C20</f>
        <v>412</v>
      </c>
      <c r="I20" s="16">
        <v>0</v>
      </c>
      <c r="J20" s="17">
        <f t="shared" ref="J20:J25" si="0">I20+H20+G20+F20</f>
        <v>412</v>
      </c>
    </row>
    <row r="21" spans="1:10" s="41" customFormat="1" ht="14.45" customHeight="1">
      <c r="A21" s="427" t="s">
        <v>74</v>
      </c>
      <c r="B21" s="46" t="s">
        <v>72</v>
      </c>
      <c r="C21" s="47">
        <v>30</v>
      </c>
      <c r="D21" s="48">
        <v>7526.7</v>
      </c>
      <c r="E21" s="47">
        <v>3</v>
      </c>
      <c r="F21" s="48">
        <f>SUM(C21*D21*E21)</f>
        <v>677403</v>
      </c>
      <c r="G21" s="48">
        <f>188.2*C21*E21</f>
        <v>16938</v>
      </c>
      <c r="H21" s="48">
        <f>198.6*C21*E21</f>
        <v>17874</v>
      </c>
      <c r="I21" s="74">
        <f>(F21+G21+H21)*16%</f>
        <v>113954.40000000001</v>
      </c>
      <c r="J21" s="49">
        <f>I21+H21+G21+F21</f>
        <v>826169.4</v>
      </c>
    </row>
    <row r="22" spans="1:10" s="41" customFormat="1" ht="15">
      <c r="A22" s="428"/>
      <c r="B22" s="9" t="s">
        <v>73</v>
      </c>
      <c r="C22" s="10">
        <v>30</v>
      </c>
      <c r="D22" s="11">
        <v>82.4</v>
      </c>
      <c r="E22" s="10">
        <v>3</v>
      </c>
      <c r="F22" s="11"/>
      <c r="G22" s="11"/>
      <c r="H22" s="11">
        <f>E22*D22*C22</f>
        <v>7416.0000000000009</v>
      </c>
      <c r="I22" s="11">
        <v>0</v>
      </c>
      <c r="J22" s="12">
        <f t="shared" ref="J22" si="1">I22+H22+G22+F22</f>
        <v>7416.0000000000009</v>
      </c>
    </row>
    <row r="23" spans="1:10" s="41" customFormat="1" ht="14.45" customHeight="1">
      <c r="A23" s="428"/>
      <c r="B23" s="70" t="s">
        <v>155</v>
      </c>
      <c r="C23" s="72">
        <v>190</v>
      </c>
      <c r="D23" s="74">
        <v>8878.2999999999993</v>
      </c>
      <c r="E23" s="72">
        <v>3</v>
      </c>
      <c r="F23" s="74">
        <f>SUM(C23*D23*E23)</f>
        <v>5060630.9999999991</v>
      </c>
      <c r="G23" s="74">
        <f>222*C23*E23</f>
        <v>126540</v>
      </c>
      <c r="H23" s="74">
        <f>397.1*C23*E23</f>
        <v>226347</v>
      </c>
      <c r="I23" s="74">
        <f>(F23+G23+H23)*16%</f>
        <v>866162.87999999989</v>
      </c>
      <c r="J23" s="81">
        <f t="shared" si="0"/>
        <v>6279680.879999999</v>
      </c>
    </row>
    <row r="24" spans="1:10" s="41" customFormat="1" ht="15">
      <c r="A24" s="428"/>
      <c r="B24" s="42" t="s">
        <v>73</v>
      </c>
      <c r="C24" s="43">
        <v>190</v>
      </c>
      <c r="D24" s="44">
        <v>82.4</v>
      </c>
      <c r="E24" s="43">
        <v>3</v>
      </c>
      <c r="F24" s="44"/>
      <c r="G24" s="44"/>
      <c r="H24" s="44">
        <f>E24*D24*C24</f>
        <v>46968</v>
      </c>
      <c r="I24" s="44">
        <v>0</v>
      </c>
      <c r="J24" s="45">
        <f t="shared" si="0"/>
        <v>46968</v>
      </c>
    </row>
    <row r="25" spans="1:10" s="41" customFormat="1" ht="27.6" customHeight="1">
      <c r="A25" s="429"/>
      <c r="B25" s="99" t="s">
        <v>76</v>
      </c>
      <c r="C25" s="100">
        <v>-4</v>
      </c>
      <c r="D25" s="101">
        <v>-7526.7</v>
      </c>
      <c r="E25" s="100">
        <v>-3</v>
      </c>
      <c r="F25" s="101">
        <f>SUM(C25*D25*E25)</f>
        <v>-90320.4</v>
      </c>
      <c r="G25" s="101">
        <f>-188.2*C25*E25</f>
        <v>-2258.3999999999996</v>
      </c>
      <c r="H25" s="101">
        <f>-198.6*C25*E25</f>
        <v>-2383.1999999999998</v>
      </c>
      <c r="I25" s="248">
        <f>(F25+G25+H25)*16%</f>
        <v>-15193.919999999998</v>
      </c>
      <c r="J25" s="102">
        <f t="shared" si="0"/>
        <v>-110155.91999999998</v>
      </c>
    </row>
    <row r="26" spans="1:10" s="41" customFormat="1" ht="27.6" customHeight="1">
      <c r="A26" s="418"/>
      <c r="B26" s="130" t="s">
        <v>77</v>
      </c>
      <c r="C26" s="186">
        <v>1</v>
      </c>
      <c r="D26" s="187">
        <v>50000</v>
      </c>
      <c r="E26" s="173">
        <v>3</v>
      </c>
      <c r="F26" s="174">
        <f>SUM(C26*D26*E26)</f>
        <v>150000</v>
      </c>
      <c r="G26" s="174">
        <f>222*C26*E26</f>
        <v>666</v>
      </c>
      <c r="H26" s="174">
        <f>397.1*C26*E26</f>
        <v>1191.3000000000002</v>
      </c>
      <c r="I26" s="174">
        <f>(F26+G26+H26)*16%</f>
        <v>24297.167999999998</v>
      </c>
      <c r="J26" s="175">
        <f>I26+H26+G26+F26</f>
        <v>176154.46799999999</v>
      </c>
    </row>
    <row r="27" spans="1:10" ht="15">
      <c r="A27" s="18"/>
      <c r="B27" s="19" t="s">
        <v>78</v>
      </c>
      <c r="C27" s="20"/>
      <c r="D27" s="21"/>
      <c r="E27" s="20"/>
      <c r="F27" s="22">
        <f>SUM(F19:F26)</f>
        <v>5835347.0999999987</v>
      </c>
      <c r="G27" s="22">
        <f>SUM(G19:G26)</f>
        <v>142826.6</v>
      </c>
      <c r="H27" s="22">
        <f>SUM(H19:H26)</f>
        <v>298818.09999999998</v>
      </c>
      <c r="I27" s="22">
        <f>SUM(I19:I26)</f>
        <v>995551.32799999975</v>
      </c>
      <c r="J27" s="22">
        <f>SUM(J19:J26)</f>
        <v>7272543.1279999996</v>
      </c>
    </row>
    <row r="28" spans="1:10" ht="15" thickBot="1">
      <c r="A28" s="23"/>
      <c r="B28" s="28" t="s">
        <v>79</v>
      </c>
      <c r="C28" s="82"/>
      <c r="D28" s="83"/>
      <c r="E28" s="82"/>
      <c r="F28" s="83">
        <f>F27</f>
        <v>5835347.0999999987</v>
      </c>
      <c r="G28" s="83">
        <f t="shared" ref="G28:J28" si="2">G27</f>
        <v>142826.6</v>
      </c>
      <c r="H28" s="83">
        <f t="shared" si="2"/>
        <v>298818.09999999998</v>
      </c>
      <c r="I28" s="83">
        <f t="shared" si="2"/>
        <v>995551.32799999975</v>
      </c>
      <c r="J28" s="83">
        <f t="shared" si="2"/>
        <v>7272543.1279999996</v>
      </c>
    </row>
    <row r="29" spans="1:10">
      <c r="A29" s="18"/>
      <c r="B29" s="29"/>
      <c r="C29" s="20"/>
      <c r="D29" s="30"/>
      <c r="E29" s="20"/>
      <c r="F29" s="30"/>
      <c r="G29" s="30"/>
      <c r="H29" s="30"/>
      <c r="I29" s="30"/>
      <c r="J29" s="30"/>
    </row>
    <row r="30" spans="1:10" ht="15" thickBot="1">
      <c r="A30" s="18"/>
      <c r="B30" s="29"/>
      <c r="C30" s="20"/>
      <c r="D30" s="30"/>
      <c r="E30" s="20"/>
      <c r="F30" s="30"/>
      <c r="G30" s="30"/>
      <c r="H30" s="30"/>
      <c r="I30" s="30"/>
      <c r="J30" s="30"/>
    </row>
    <row r="31" spans="1:10" ht="15" thickBot="1">
      <c r="A31" s="431" t="s">
        <v>80</v>
      </c>
      <c r="B31" s="432"/>
      <c r="C31" s="7"/>
      <c r="D31" s="7"/>
      <c r="E31" s="7"/>
      <c r="F31" s="7"/>
      <c r="G31" s="7"/>
      <c r="H31" s="7"/>
      <c r="I31" s="7"/>
      <c r="J31" s="7"/>
    </row>
    <row r="32" spans="1:10" ht="15" thickBot="1">
      <c r="A32" s="78" t="s">
        <v>62</v>
      </c>
      <c r="B32" s="79" t="s">
        <v>13</v>
      </c>
      <c r="C32" s="80" t="s">
        <v>63</v>
      </c>
      <c r="D32" s="80" t="s">
        <v>64</v>
      </c>
      <c r="E32" s="80" t="s">
        <v>65</v>
      </c>
      <c r="F32" s="80" t="s">
        <v>66</v>
      </c>
      <c r="G32" s="80" t="s">
        <v>27</v>
      </c>
      <c r="H32" s="80" t="s">
        <v>68</v>
      </c>
      <c r="I32" s="80" t="s">
        <v>69</v>
      </c>
      <c r="J32" s="8" t="s">
        <v>70</v>
      </c>
    </row>
    <row r="33" spans="1:10" s="41" customFormat="1" ht="36.75">
      <c r="A33" s="434" t="s">
        <v>71</v>
      </c>
      <c r="B33" s="128" t="s">
        <v>81</v>
      </c>
      <c r="C33" s="72">
        <v>5</v>
      </c>
      <c r="D33" s="71">
        <v>0</v>
      </c>
      <c r="E33" s="72">
        <v>1</v>
      </c>
      <c r="F33" s="74">
        <f t="shared" ref="F33:F34" si="3">SUM(C33*D33*E33)</f>
        <v>0</v>
      </c>
      <c r="G33" s="71"/>
      <c r="H33" s="71">
        <f t="shared" ref="H33:H34" si="4">F33*15%</f>
        <v>0</v>
      </c>
      <c r="I33" s="71">
        <f t="shared" ref="I33:I34" si="5">(F33*16%)+(H33*16%)</f>
        <v>0</v>
      </c>
      <c r="J33" s="73">
        <f t="shared" ref="J33:J34" si="6">I33+H33+G33+F33</f>
        <v>0</v>
      </c>
    </row>
    <row r="34" spans="1:10" s="41" customFormat="1" ht="15" thickBot="1">
      <c r="A34" s="436"/>
      <c r="B34" s="126" t="s">
        <v>82</v>
      </c>
      <c r="C34" s="57">
        <v>5</v>
      </c>
      <c r="D34" s="58">
        <v>0</v>
      </c>
      <c r="E34" s="57">
        <v>1</v>
      </c>
      <c r="F34" s="59">
        <f t="shared" si="3"/>
        <v>0</v>
      </c>
      <c r="G34" s="58"/>
      <c r="H34" s="58">
        <f t="shared" si="4"/>
        <v>0</v>
      </c>
      <c r="I34" s="58">
        <f t="shared" si="5"/>
        <v>0</v>
      </c>
      <c r="J34" s="60">
        <f t="shared" si="6"/>
        <v>0</v>
      </c>
    </row>
    <row r="35" spans="1:10" s="41" customFormat="1" ht="36.75">
      <c r="A35" s="435" t="s">
        <v>83</v>
      </c>
      <c r="B35" s="260" t="s">
        <v>84</v>
      </c>
      <c r="C35" s="10">
        <v>5</v>
      </c>
      <c r="D35" s="31">
        <v>0</v>
      </c>
      <c r="E35" s="10">
        <v>1</v>
      </c>
      <c r="F35" s="48">
        <f t="shared" ref="F35:F40" si="7">SUM(C35*D35*E35)</f>
        <v>0</v>
      </c>
      <c r="G35" s="31"/>
      <c r="H35" s="31">
        <f t="shared" ref="H35:H40" si="8">F35*15%</f>
        <v>0</v>
      </c>
      <c r="I35" s="31">
        <f t="shared" ref="I35:I40" si="9">(F35*16%)+(H35*16%)</f>
        <v>0</v>
      </c>
      <c r="J35" s="32">
        <f t="shared" ref="J35:J40" si="10">I35+H35+G35+F35</f>
        <v>0</v>
      </c>
    </row>
    <row r="36" spans="1:10" s="41" customFormat="1" ht="24.75">
      <c r="A36" s="437"/>
      <c r="B36" s="260" t="s">
        <v>85</v>
      </c>
      <c r="C36" s="10">
        <v>410</v>
      </c>
      <c r="D36" s="31">
        <v>0</v>
      </c>
      <c r="E36" s="10">
        <v>1</v>
      </c>
      <c r="F36" s="48">
        <f t="shared" si="7"/>
        <v>0</v>
      </c>
      <c r="G36" s="31"/>
      <c r="H36" s="31">
        <f t="shared" si="8"/>
        <v>0</v>
      </c>
      <c r="I36" s="31">
        <f t="shared" si="9"/>
        <v>0</v>
      </c>
      <c r="J36" s="32">
        <f t="shared" si="10"/>
        <v>0</v>
      </c>
    </row>
    <row r="37" spans="1:10" s="41" customFormat="1" ht="53.45">
      <c r="A37" s="437"/>
      <c r="B37" s="9" t="s">
        <v>196</v>
      </c>
      <c r="C37" s="10">
        <v>410</v>
      </c>
      <c r="D37" s="31">
        <v>280</v>
      </c>
      <c r="E37" s="10">
        <v>1</v>
      </c>
      <c r="F37" s="48">
        <f t="shared" si="7"/>
        <v>114800</v>
      </c>
      <c r="G37" s="31"/>
      <c r="H37" s="31">
        <f>F37*15%</f>
        <v>17220</v>
      </c>
      <c r="I37" s="31">
        <f>(F37*16%)+(H37*16%)</f>
        <v>21123.200000000001</v>
      </c>
      <c r="J37" s="32">
        <f t="shared" si="10"/>
        <v>153143.20000000001</v>
      </c>
    </row>
    <row r="38" spans="1:10" s="41" customFormat="1" ht="237">
      <c r="A38" s="437"/>
      <c r="B38" s="42" t="s">
        <v>197</v>
      </c>
      <c r="C38" s="43">
        <v>410</v>
      </c>
      <c r="D38" s="63">
        <v>120</v>
      </c>
      <c r="E38" s="43">
        <v>0</v>
      </c>
      <c r="F38" s="54">
        <f t="shared" si="7"/>
        <v>0</v>
      </c>
      <c r="G38" s="63"/>
      <c r="H38" s="63">
        <f>F38*15%</f>
        <v>0</v>
      </c>
      <c r="I38" s="63">
        <f>(F38*16%)+(H38*16%)</f>
        <v>0</v>
      </c>
      <c r="J38" s="64">
        <f t="shared" si="10"/>
        <v>0</v>
      </c>
    </row>
    <row r="39" spans="1:10" s="41" customFormat="1" ht="79.900000000000006">
      <c r="A39" s="437"/>
      <c r="B39" s="42" t="s">
        <v>198</v>
      </c>
      <c r="C39" s="43">
        <v>410</v>
      </c>
      <c r="D39" s="63">
        <v>380</v>
      </c>
      <c r="E39" s="43">
        <v>1</v>
      </c>
      <c r="F39" s="44">
        <f t="shared" ref="F39" si="11">SUM(C39*D39*E39)</f>
        <v>155800</v>
      </c>
      <c r="G39" s="63"/>
      <c r="H39" s="63">
        <f t="shared" ref="H39" si="12">F39*15%</f>
        <v>23370</v>
      </c>
      <c r="I39" s="63">
        <f t="shared" ref="I39" si="13">(F39*16%)+(H39*16%)</f>
        <v>28667.200000000001</v>
      </c>
      <c r="J39" s="64">
        <f t="shared" ref="J39" si="14">I39+H39+G39+F39</f>
        <v>207837.2</v>
      </c>
    </row>
    <row r="40" spans="1:10" s="41" customFormat="1" ht="54.75" customHeight="1">
      <c r="A40" s="437"/>
      <c r="B40" s="131" t="s">
        <v>199</v>
      </c>
      <c r="C40" s="43">
        <v>410</v>
      </c>
      <c r="D40" s="63">
        <v>450</v>
      </c>
      <c r="E40" s="43">
        <v>1</v>
      </c>
      <c r="F40" s="44">
        <f t="shared" si="7"/>
        <v>184500</v>
      </c>
      <c r="G40" s="63"/>
      <c r="H40" s="63">
        <f t="shared" si="8"/>
        <v>27675</v>
      </c>
      <c r="I40" s="63">
        <f t="shared" si="9"/>
        <v>33948</v>
      </c>
      <c r="J40" s="64">
        <f t="shared" si="10"/>
        <v>246123</v>
      </c>
    </row>
    <row r="41" spans="1:10" s="41" customFormat="1" ht="15">
      <c r="A41" s="434" t="s">
        <v>92</v>
      </c>
      <c r="B41" s="128" t="s">
        <v>93</v>
      </c>
      <c r="C41" s="72">
        <v>410</v>
      </c>
      <c r="D41" s="71">
        <v>0</v>
      </c>
      <c r="E41" s="72">
        <v>1</v>
      </c>
      <c r="F41" s="74">
        <f>SUM(C41*D41*E41)</f>
        <v>0</v>
      </c>
      <c r="G41" s="71"/>
      <c r="H41" s="71">
        <f>F41*15%</f>
        <v>0</v>
      </c>
      <c r="I41" s="71">
        <f>(F41*16%)+(H41*16%)</f>
        <v>0</v>
      </c>
      <c r="J41" s="73">
        <f>I41+H41+G41+F41</f>
        <v>0</v>
      </c>
    </row>
    <row r="42" spans="1:10" s="41" customFormat="1" ht="53.45">
      <c r="A42" s="437"/>
      <c r="B42" s="9" t="s">
        <v>200</v>
      </c>
      <c r="C42" s="10">
        <v>410</v>
      </c>
      <c r="D42" s="31">
        <v>390</v>
      </c>
      <c r="E42" s="10">
        <v>1</v>
      </c>
      <c r="F42" s="48">
        <f t="shared" ref="F42:F46" si="15">SUM(C42*D42*E42)</f>
        <v>159900</v>
      </c>
      <c r="G42" s="31"/>
      <c r="H42" s="31">
        <f>F42*15%</f>
        <v>23985</v>
      </c>
      <c r="I42" s="31">
        <f>(F42*16%)+(H42*16%)</f>
        <v>29421.599999999999</v>
      </c>
      <c r="J42" s="32">
        <f t="shared" ref="J42:J46" si="16">I42+H42+G42+F42</f>
        <v>213306.6</v>
      </c>
    </row>
    <row r="43" spans="1:10" s="41" customFormat="1" ht="237">
      <c r="A43" s="437"/>
      <c r="B43" s="42" t="s">
        <v>201</v>
      </c>
      <c r="C43" s="43">
        <v>410</v>
      </c>
      <c r="D43" s="63">
        <v>120</v>
      </c>
      <c r="E43" s="43">
        <v>0</v>
      </c>
      <c r="F43" s="48"/>
      <c r="G43" s="31"/>
      <c r="H43" s="31"/>
      <c r="I43" s="31"/>
      <c r="J43" s="32"/>
    </row>
    <row r="44" spans="1:10" s="41" customFormat="1" ht="24.75">
      <c r="A44" s="437"/>
      <c r="B44" s="260" t="s">
        <v>95</v>
      </c>
      <c r="C44" s="10">
        <v>410</v>
      </c>
      <c r="D44" s="31">
        <v>0</v>
      </c>
      <c r="E44" s="10">
        <v>1</v>
      </c>
      <c r="F44" s="48">
        <f t="shared" ref="F44" si="17">SUM(C44*D44*E44)</f>
        <v>0</v>
      </c>
      <c r="G44" s="31"/>
      <c r="H44" s="31">
        <f t="shared" ref="H44" si="18">F44*15%</f>
        <v>0</v>
      </c>
      <c r="I44" s="31">
        <f t="shared" ref="I44" si="19">(F44*16%)+(H44*16%)</f>
        <v>0</v>
      </c>
      <c r="J44" s="32">
        <f t="shared" ref="J44" si="20">I44+H44+G44+F44</f>
        <v>0</v>
      </c>
    </row>
    <row r="45" spans="1:10" s="41" customFormat="1" ht="237">
      <c r="A45" s="437"/>
      <c r="B45" s="42" t="s">
        <v>197</v>
      </c>
      <c r="C45" s="43">
        <v>410</v>
      </c>
      <c r="D45" s="63">
        <v>120</v>
      </c>
      <c r="E45" s="43">
        <v>0</v>
      </c>
      <c r="F45" s="48"/>
      <c r="G45" s="31"/>
      <c r="H45" s="31"/>
      <c r="I45" s="31"/>
      <c r="J45" s="32"/>
    </row>
    <row r="46" spans="1:10" s="41" customFormat="1" ht="49.9" customHeight="1" thickBot="1">
      <c r="A46" s="437"/>
      <c r="B46" s="261" t="s">
        <v>97</v>
      </c>
      <c r="C46" s="43">
        <v>410</v>
      </c>
      <c r="D46" s="63">
        <v>0</v>
      </c>
      <c r="E46" s="43">
        <v>1</v>
      </c>
      <c r="F46" s="11">
        <f t="shared" si="15"/>
        <v>0</v>
      </c>
      <c r="G46" s="31"/>
      <c r="H46" s="31">
        <f t="shared" ref="H46" si="21">F46*15%</f>
        <v>0</v>
      </c>
      <c r="I46" s="31">
        <f t="shared" ref="I46" si="22">(F46*16%)+(H46*16%)</f>
        <v>0</v>
      </c>
      <c r="J46" s="32">
        <f t="shared" si="16"/>
        <v>0</v>
      </c>
    </row>
    <row r="47" spans="1:10" s="41" customFormat="1" ht="15">
      <c r="A47" s="434" t="s">
        <v>98</v>
      </c>
      <c r="B47" s="262" t="s">
        <v>168</v>
      </c>
      <c r="C47" s="72">
        <v>410</v>
      </c>
      <c r="D47" s="71">
        <v>0</v>
      </c>
      <c r="E47" s="72"/>
      <c r="F47" s="74">
        <f>SUM(C47*D47*E47)</f>
        <v>0</v>
      </c>
      <c r="G47" s="71"/>
      <c r="H47" s="71">
        <f>F47*15%</f>
        <v>0</v>
      </c>
      <c r="I47" s="71">
        <f>(F47*16%)+(H47*16%)</f>
        <v>0</v>
      </c>
      <c r="J47" s="73">
        <f>I47+H47+G47+F47</f>
        <v>0</v>
      </c>
    </row>
    <row r="48" spans="1:10" s="41" customFormat="1" ht="53.45">
      <c r="A48" s="435"/>
      <c r="B48" s="9" t="s">
        <v>202</v>
      </c>
      <c r="C48" s="10">
        <v>410</v>
      </c>
      <c r="D48" s="31">
        <v>280</v>
      </c>
      <c r="E48" s="10">
        <v>1</v>
      </c>
      <c r="F48" s="11">
        <f t="shared" ref="F48:F51" si="23">SUM(C48*D48*E48)</f>
        <v>114800</v>
      </c>
      <c r="G48" s="31"/>
      <c r="H48" s="31">
        <f t="shared" ref="H48:H51" si="24">F48*15%</f>
        <v>17220</v>
      </c>
      <c r="I48" s="31">
        <f t="shared" ref="I48:I51" si="25">(F48*16%)+(H48*16%)</f>
        <v>21123.200000000001</v>
      </c>
      <c r="J48" s="32">
        <f t="shared" ref="J48:J51" si="26">I48+H48+G48+F48</f>
        <v>153143.20000000001</v>
      </c>
    </row>
    <row r="49" spans="1:10" s="41" customFormat="1" ht="237">
      <c r="A49" s="435"/>
      <c r="B49" s="42" t="s">
        <v>201</v>
      </c>
      <c r="C49" s="43">
        <v>410</v>
      </c>
      <c r="D49" s="63">
        <v>120</v>
      </c>
      <c r="E49" s="43">
        <v>0</v>
      </c>
      <c r="F49" s="11">
        <f t="shared" si="23"/>
        <v>0</v>
      </c>
      <c r="G49" s="31"/>
      <c r="H49" s="31">
        <f t="shared" si="24"/>
        <v>0</v>
      </c>
      <c r="I49" s="31">
        <f t="shared" si="25"/>
        <v>0</v>
      </c>
      <c r="J49" s="32">
        <f t="shared" si="26"/>
        <v>0</v>
      </c>
    </row>
    <row r="50" spans="1:10" s="41" customFormat="1" ht="24.75">
      <c r="A50" s="435"/>
      <c r="B50" s="260" t="s">
        <v>85</v>
      </c>
      <c r="C50" s="10">
        <v>410</v>
      </c>
      <c r="D50" s="31">
        <v>0</v>
      </c>
      <c r="E50" s="10">
        <v>1</v>
      </c>
      <c r="F50" s="11">
        <f t="shared" si="23"/>
        <v>0</v>
      </c>
      <c r="G50" s="31"/>
      <c r="H50" s="31">
        <f t="shared" si="24"/>
        <v>0</v>
      </c>
      <c r="I50" s="31">
        <f t="shared" si="25"/>
        <v>0</v>
      </c>
      <c r="J50" s="32">
        <f t="shared" si="26"/>
        <v>0</v>
      </c>
    </row>
    <row r="51" spans="1:10" s="41" customFormat="1" ht="67.150000000000006" thickBot="1">
      <c r="A51" s="435"/>
      <c r="B51" s="9" t="s">
        <v>203</v>
      </c>
      <c r="C51" s="10">
        <v>410</v>
      </c>
      <c r="D51" s="31">
        <v>270</v>
      </c>
      <c r="E51" s="10">
        <v>1</v>
      </c>
      <c r="F51" s="11">
        <f t="shared" si="23"/>
        <v>110700</v>
      </c>
      <c r="G51" s="31"/>
      <c r="H51" s="31">
        <f t="shared" si="24"/>
        <v>16605</v>
      </c>
      <c r="I51" s="31">
        <f t="shared" si="25"/>
        <v>20368.8</v>
      </c>
      <c r="J51" s="32">
        <f t="shared" si="26"/>
        <v>147673.79999999999</v>
      </c>
    </row>
    <row r="52" spans="1:10" s="41" customFormat="1" ht="15" thickBot="1">
      <c r="A52" s="75" t="s">
        <v>101</v>
      </c>
      <c r="B52" s="263" t="s">
        <v>93</v>
      </c>
      <c r="C52" s="57">
        <v>410</v>
      </c>
      <c r="D52" s="58">
        <v>0</v>
      </c>
      <c r="E52" s="57">
        <v>1</v>
      </c>
      <c r="F52" s="59">
        <f>SUM(C52*D52*E52)</f>
        <v>0</v>
      </c>
      <c r="G52" s="58"/>
      <c r="H52" s="58">
        <f>F52*15%</f>
        <v>0</v>
      </c>
      <c r="I52" s="58">
        <f>(F52*16%)+(H52*16%)</f>
        <v>0</v>
      </c>
      <c r="J52" s="60">
        <f>I52+H52+G52+F52</f>
        <v>0</v>
      </c>
    </row>
    <row r="53" spans="1:10" ht="15" thickBot="1">
      <c r="A53" s="18"/>
      <c r="B53" s="19" t="s">
        <v>78</v>
      </c>
      <c r="C53" s="20"/>
      <c r="D53" s="21"/>
      <c r="E53" s="20"/>
      <c r="F53" s="22">
        <f>SUM(F33:F52)</f>
        <v>840500</v>
      </c>
      <c r="G53" s="22">
        <f>SUM(G33:G52)</f>
        <v>0</v>
      </c>
      <c r="H53" s="22">
        <f>SUM(H33:H52)</f>
        <v>126075</v>
      </c>
      <c r="I53" s="22">
        <f>SUM(I33:I52)</f>
        <v>154652</v>
      </c>
      <c r="J53" s="22">
        <f>SUM(J33:J52)</f>
        <v>1121227</v>
      </c>
    </row>
    <row r="54" spans="1:10" ht="15" thickBot="1">
      <c r="A54" s="23"/>
      <c r="B54" s="28" t="s">
        <v>102</v>
      </c>
      <c r="C54" s="82"/>
      <c r="D54" s="83"/>
      <c r="E54" s="82"/>
      <c r="F54" s="83">
        <f>F53</f>
        <v>840500</v>
      </c>
      <c r="G54" s="83">
        <f t="shared" ref="G54:J54" si="27">G53</f>
        <v>0</v>
      </c>
      <c r="H54" s="83">
        <f t="shared" si="27"/>
        <v>126075</v>
      </c>
      <c r="I54" s="83">
        <f t="shared" si="27"/>
        <v>154652</v>
      </c>
      <c r="J54" s="83">
        <f t="shared" si="27"/>
        <v>1121227</v>
      </c>
    </row>
    <row r="55" spans="1:10">
      <c r="A55" s="18"/>
      <c r="B55" s="29"/>
      <c r="C55" s="20"/>
      <c r="D55" s="21"/>
      <c r="E55" s="20"/>
      <c r="F55" s="30"/>
      <c r="G55" s="30"/>
      <c r="H55" s="30"/>
      <c r="I55" s="30"/>
      <c r="J55" s="30"/>
    </row>
    <row r="56" spans="1:10" ht="15" thickBot="1">
      <c r="A56" s="18"/>
      <c r="B56" s="29"/>
      <c r="C56" s="20"/>
      <c r="D56" s="21"/>
      <c r="E56" s="20"/>
      <c r="F56" s="30"/>
      <c r="G56" s="30"/>
      <c r="H56" s="30"/>
      <c r="I56" s="30"/>
      <c r="J56" s="30"/>
    </row>
    <row r="57" spans="1:10" ht="15" thickBot="1">
      <c r="A57" s="431" t="s">
        <v>103</v>
      </c>
      <c r="B57" s="432"/>
      <c r="C57" s="7"/>
      <c r="D57" s="7"/>
      <c r="E57" s="7"/>
      <c r="F57" s="7"/>
      <c r="G57" s="7"/>
      <c r="H57" s="7"/>
      <c r="I57" s="7"/>
      <c r="J57" s="7"/>
    </row>
    <row r="58" spans="1:10" ht="15" thickBot="1">
      <c r="A58" s="84" t="s">
        <v>62</v>
      </c>
      <c r="B58" s="79" t="s">
        <v>13</v>
      </c>
      <c r="C58" s="80" t="s">
        <v>63</v>
      </c>
      <c r="D58" s="80" t="s">
        <v>64</v>
      </c>
      <c r="E58" s="80" t="s">
        <v>65</v>
      </c>
      <c r="F58" s="80" t="s">
        <v>66</v>
      </c>
      <c r="G58" s="80" t="s">
        <v>27</v>
      </c>
      <c r="H58" s="80" t="s">
        <v>68</v>
      </c>
      <c r="I58" s="80" t="s">
        <v>69</v>
      </c>
      <c r="J58" s="8" t="s">
        <v>70</v>
      </c>
    </row>
    <row r="59" spans="1:10" ht="15">
      <c r="A59" s="427"/>
      <c r="B59" s="70" t="s">
        <v>104</v>
      </c>
      <c r="C59" s="72">
        <v>12</v>
      </c>
      <c r="D59" s="71">
        <v>2096</v>
      </c>
      <c r="E59" s="72">
        <v>1</v>
      </c>
      <c r="F59" s="71">
        <v>25152</v>
      </c>
      <c r="G59" s="71"/>
      <c r="H59" s="71">
        <v>1509.12</v>
      </c>
      <c r="I59" s="71">
        <v>4024.32</v>
      </c>
      <c r="J59" s="73">
        <v>30685.440000000002</v>
      </c>
    </row>
    <row r="60" spans="1:10" ht="15">
      <c r="A60" s="428"/>
      <c r="B60" s="9" t="s">
        <v>105</v>
      </c>
      <c r="C60" s="10">
        <v>15</v>
      </c>
      <c r="D60" s="31">
        <v>3137</v>
      </c>
      <c r="E60" s="10">
        <v>1</v>
      </c>
      <c r="F60" s="31">
        <v>47055</v>
      </c>
      <c r="G60" s="31"/>
      <c r="H60" s="31">
        <v>2823.2999999999997</v>
      </c>
      <c r="I60" s="31">
        <v>7528.8</v>
      </c>
      <c r="J60" s="32">
        <v>57407.1</v>
      </c>
    </row>
    <row r="61" spans="1:10" ht="15">
      <c r="A61" s="428"/>
      <c r="B61" s="9" t="s">
        <v>106</v>
      </c>
      <c r="C61" s="10">
        <v>1</v>
      </c>
      <c r="D61" s="31">
        <v>17205</v>
      </c>
      <c r="E61" s="10">
        <v>1</v>
      </c>
      <c r="F61" s="31">
        <v>17205</v>
      </c>
      <c r="G61" s="31"/>
      <c r="H61" s="31">
        <v>1032.3</v>
      </c>
      <c r="I61" s="31">
        <v>2752.8</v>
      </c>
      <c r="J61" s="32">
        <v>20990.1</v>
      </c>
    </row>
    <row r="62" spans="1:10" ht="15">
      <c r="A62" s="428"/>
      <c r="B62" s="9" t="s">
        <v>107</v>
      </c>
      <c r="C62" s="10">
        <v>1</v>
      </c>
      <c r="D62" s="31">
        <v>18901</v>
      </c>
      <c r="E62" s="10">
        <v>1</v>
      </c>
      <c r="F62" s="31">
        <v>18901</v>
      </c>
      <c r="G62" s="31"/>
      <c r="H62" s="31">
        <v>1134.06</v>
      </c>
      <c r="I62" s="31">
        <v>3024.16</v>
      </c>
      <c r="J62" s="32">
        <v>23059.22</v>
      </c>
    </row>
    <row r="63" spans="1:10" ht="15">
      <c r="A63" s="428"/>
      <c r="B63" s="42" t="s">
        <v>108</v>
      </c>
      <c r="C63" s="10">
        <v>1</v>
      </c>
      <c r="D63" s="63">
        <v>21011</v>
      </c>
      <c r="E63" s="10">
        <v>1</v>
      </c>
      <c r="F63" s="31">
        <v>21011</v>
      </c>
      <c r="G63" s="31"/>
      <c r="H63" s="31">
        <v>1260.6599999999999</v>
      </c>
      <c r="I63" s="31">
        <v>3361.76</v>
      </c>
      <c r="J63" s="32">
        <v>25633.42</v>
      </c>
    </row>
    <row r="64" spans="1:10" ht="15">
      <c r="A64" s="428"/>
      <c r="B64" s="42" t="s">
        <v>109</v>
      </c>
      <c r="C64" s="10">
        <v>9</v>
      </c>
      <c r="D64" s="63">
        <v>2096</v>
      </c>
      <c r="E64" s="10">
        <v>1</v>
      </c>
      <c r="F64" s="31">
        <v>18864</v>
      </c>
      <c r="G64" s="31"/>
      <c r="H64" s="31">
        <v>1131.8399999999999</v>
      </c>
      <c r="I64" s="31">
        <v>3018.2400000000002</v>
      </c>
      <c r="J64" s="32">
        <v>23014.080000000002</v>
      </c>
    </row>
    <row r="65" spans="1:14" ht="15" thickBot="1">
      <c r="A65" s="429"/>
      <c r="B65" s="14" t="s">
        <v>110</v>
      </c>
      <c r="C65" s="15">
        <v>17</v>
      </c>
      <c r="D65" s="33">
        <v>3137</v>
      </c>
      <c r="E65" s="15">
        <v>1</v>
      </c>
      <c r="F65" s="33">
        <v>53329</v>
      </c>
      <c r="G65" s="33"/>
      <c r="H65" s="33">
        <v>3199.74</v>
      </c>
      <c r="I65" s="33">
        <v>8532.64</v>
      </c>
      <c r="J65" s="34">
        <v>65061.38</v>
      </c>
    </row>
    <row r="66" spans="1:14" ht="15">
      <c r="A66" s="427"/>
      <c r="B66" s="77" t="s">
        <v>111</v>
      </c>
      <c r="C66" s="72">
        <v>1</v>
      </c>
      <c r="D66" s="71">
        <v>18901</v>
      </c>
      <c r="E66" s="72">
        <v>1</v>
      </c>
      <c r="F66" s="71">
        <v>18901</v>
      </c>
      <c r="G66" s="71"/>
      <c r="H66" s="71">
        <v>1134.06</v>
      </c>
      <c r="I66" s="71">
        <v>3024.16</v>
      </c>
      <c r="J66" s="73">
        <v>23059.22</v>
      </c>
    </row>
    <row r="67" spans="1:14" ht="15" thickBot="1">
      <c r="A67" s="429"/>
      <c r="B67" s="76" t="s">
        <v>112</v>
      </c>
      <c r="C67" s="57">
        <v>2</v>
      </c>
      <c r="D67" s="58">
        <v>21011</v>
      </c>
      <c r="E67" s="57">
        <v>1</v>
      </c>
      <c r="F67" s="58">
        <v>42022</v>
      </c>
      <c r="G67" s="58"/>
      <c r="H67" s="58">
        <v>2521.3199999999997</v>
      </c>
      <c r="I67" s="58">
        <v>6723.52</v>
      </c>
      <c r="J67" s="60">
        <v>51266.84</v>
      </c>
    </row>
    <row r="68" spans="1:14" ht="15" thickBot="1">
      <c r="A68" s="18"/>
      <c r="B68" s="19" t="s">
        <v>78</v>
      </c>
      <c r="C68" s="20"/>
      <c r="D68" s="21"/>
      <c r="E68" s="20"/>
      <c r="F68" s="27">
        <f>SUM(F59:F67)</f>
        <v>262440</v>
      </c>
      <c r="G68" s="27">
        <f t="shared" ref="G68:J68" si="28">SUM(G59:G67)</f>
        <v>0</v>
      </c>
      <c r="H68" s="27">
        <f t="shared" si="28"/>
        <v>15746.4</v>
      </c>
      <c r="I68" s="27">
        <f t="shared" si="28"/>
        <v>41990.400000000009</v>
      </c>
      <c r="J68" s="27">
        <f t="shared" si="28"/>
        <v>320176.80000000005</v>
      </c>
    </row>
    <row r="69" spans="1:14" ht="15" thickBot="1">
      <c r="A69" s="23"/>
      <c r="B69" s="28" t="s">
        <v>113</v>
      </c>
      <c r="C69" s="82"/>
      <c r="D69" s="83"/>
      <c r="E69" s="82"/>
      <c r="F69" s="83">
        <f>F68</f>
        <v>262440</v>
      </c>
      <c r="G69" s="83">
        <f t="shared" ref="G69:J69" si="29">G68</f>
        <v>0</v>
      </c>
      <c r="H69" s="83">
        <f t="shared" si="29"/>
        <v>15746.4</v>
      </c>
      <c r="I69" s="83">
        <f t="shared" si="29"/>
        <v>41990.400000000009</v>
      </c>
      <c r="J69" s="37">
        <f t="shared" si="29"/>
        <v>320176.80000000005</v>
      </c>
    </row>
    <row r="70" spans="1:14" ht="15" thickBot="1">
      <c r="A70" s="23"/>
      <c r="B70" s="29"/>
      <c r="C70" s="20"/>
      <c r="D70" s="30"/>
      <c r="E70" s="20"/>
      <c r="F70" s="30"/>
      <c r="G70" s="30"/>
      <c r="H70" s="30"/>
      <c r="I70" s="30"/>
      <c r="J70" s="30"/>
    </row>
    <row r="71" spans="1:14" ht="15" thickBot="1">
      <c r="A71" s="431" t="s">
        <v>114</v>
      </c>
      <c r="B71" s="432"/>
      <c r="C71" s="7"/>
      <c r="D71" s="7"/>
      <c r="E71" s="7"/>
      <c r="F71" s="7"/>
      <c r="G71" s="7"/>
      <c r="H71" s="7"/>
      <c r="I71" s="7"/>
      <c r="J71" s="7"/>
    </row>
    <row r="72" spans="1:14" ht="15" thickBot="1">
      <c r="A72" s="66" t="s">
        <v>62</v>
      </c>
      <c r="B72" s="67" t="s">
        <v>13</v>
      </c>
      <c r="C72" s="68" t="s">
        <v>63</v>
      </c>
      <c r="D72" s="68" t="s">
        <v>64</v>
      </c>
      <c r="E72" s="68" t="s">
        <v>65</v>
      </c>
      <c r="F72" s="68" t="s">
        <v>66</v>
      </c>
      <c r="G72" s="68" t="s">
        <v>27</v>
      </c>
      <c r="H72" s="68" t="s">
        <v>68</v>
      </c>
      <c r="I72" s="68" t="s">
        <v>69</v>
      </c>
      <c r="J72" s="69" t="s">
        <v>70</v>
      </c>
    </row>
    <row r="73" spans="1:14" s="41" customFormat="1" ht="15">
      <c r="A73" s="50"/>
      <c r="B73" s="42"/>
      <c r="C73" s="43"/>
      <c r="D73" s="63"/>
      <c r="E73" s="43"/>
      <c r="F73" s="63"/>
      <c r="G73" s="63"/>
      <c r="H73" s="63"/>
      <c r="I73" s="63"/>
      <c r="J73" s="64"/>
    </row>
    <row r="74" spans="1:14" s="41" customFormat="1" ht="15" thickBot="1">
      <c r="A74" s="13"/>
      <c r="B74" s="14"/>
      <c r="C74" s="15"/>
      <c r="D74" s="33"/>
      <c r="E74" s="15"/>
      <c r="F74" s="33">
        <f t="shared" ref="F74" si="30">E74+D74+C74</f>
        <v>0</v>
      </c>
      <c r="G74" s="33"/>
      <c r="H74" s="33"/>
      <c r="I74" s="33">
        <f t="shared" ref="I74" si="31">F74*16%</f>
        <v>0</v>
      </c>
      <c r="J74" s="34">
        <f t="shared" ref="J74" si="32">I74+H74+G74+F74</f>
        <v>0</v>
      </c>
    </row>
    <row r="75" spans="1:14" ht="15" thickBot="1">
      <c r="A75" s="18"/>
      <c r="B75" s="19" t="s">
        <v>78</v>
      </c>
      <c r="C75" s="20"/>
      <c r="D75" s="21"/>
      <c r="E75" s="20"/>
      <c r="F75" s="22">
        <f>SUM(F73:F74)</f>
        <v>0</v>
      </c>
      <c r="G75" s="22">
        <f>SUM(G73:G74)</f>
        <v>0</v>
      </c>
      <c r="H75" s="22">
        <f>SUM(H73:H74)</f>
        <v>0</v>
      </c>
      <c r="I75" s="22">
        <f>SUM(I73:I74)</f>
        <v>0</v>
      </c>
      <c r="J75" s="22">
        <f>SUM(J73:J74)</f>
        <v>0</v>
      </c>
    </row>
    <row r="76" spans="1:14" ht="15" thickBot="1">
      <c r="A76" s="23"/>
      <c r="B76" s="28" t="s">
        <v>173</v>
      </c>
      <c r="C76" s="82"/>
      <c r="D76" s="83"/>
      <c r="E76" s="82"/>
      <c r="F76" s="83">
        <f>SUM(F75)</f>
        <v>0</v>
      </c>
      <c r="G76" s="83">
        <f t="shared" ref="G76:J76" si="33">SUM(G75)</f>
        <v>0</v>
      </c>
      <c r="H76" s="83">
        <f t="shared" si="33"/>
        <v>0</v>
      </c>
      <c r="I76" s="83">
        <f t="shared" si="33"/>
        <v>0</v>
      </c>
      <c r="J76" s="83">
        <f t="shared" si="33"/>
        <v>0</v>
      </c>
    </row>
    <row r="77" spans="1:14" ht="15" thickBot="1">
      <c r="A77" s="23"/>
      <c r="B77" s="29"/>
      <c r="C77" s="20"/>
      <c r="D77" s="30"/>
      <c r="E77" s="20"/>
      <c r="F77" s="30"/>
      <c r="G77" s="30"/>
      <c r="H77" s="30"/>
      <c r="I77" s="30"/>
      <c r="J77" s="30"/>
      <c r="N77" t="s">
        <v>116</v>
      </c>
    </row>
    <row r="78" spans="1:14" ht="15" thickBot="1">
      <c r="A78" s="431" t="s">
        <v>117</v>
      </c>
      <c r="B78" s="432"/>
      <c r="C78" s="7"/>
      <c r="D78" s="7"/>
      <c r="E78" s="7"/>
      <c r="F78" s="7"/>
      <c r="G78" s="7"/>
      <c r="H78" s="7"/>
      <c r="I78" s="7"/>
      <c r="J78" s="7"/>
    </row>
    <row r="79" spans="1:14" ht="15" thickBot="1">
      <c r="A79" s="78" t="s">
        <v>62</v>
      </c>
      <c r="B79" s="79" t="s">
        <v>13</v>
      </c>
      <c r="C79" s="80" t="s">
        <v>63</v>
      </c>
      <c r="D79" s="80" t="s">
        <v>64</v>
      </c>
      <c r="E79" s="80" t="s">
        <v>65</v>
      </c>
      <c r="F79" s="80" t="s">
        <v>66</v>
      </c>
      <c r="G79" s="80" t="s">
        <v>27</v>
      </c>
      <c r="H79" s="80" t="s">
        <v>68</v>
      </c>
      <c r="I79" s="80" t="s">
        <v>69</v>
      </c>
      <c r="J79" s="8" t="s">
        <v>70</v>
      </c>
      <c r="N79" t="s">
        <v>116</v>
      </c>
    </row>
    <row r="80" spans="1:14" s="41" customFormat="1" ht="27">
      <c r="A80" s="427" t="s">
        <v>74</v>
      </c>
      <c r="B80" s="70" t="s">
        <v>118</v>
      </c>
      <c r="C80" s="72">
        <v>410</v>
      </c>
      <c r="D80" s="74">
        <v>100</v>
      </c>
      <c r="E80" s="72">
        <v>0</v>
      </c>
      <c r="F80" s="71">
        <f t="shared" ref="F80:F84" si="34">SUM(C80*D80*E80)</f>
        <v>0</v>
      </c>
      <c r="G80" s="71"/>
      <c r="H80" s="71"/>
      <c r="I80" s="71">
        <f>F80*16%</f>
        <v>0</v>
      </c>
      <c r="J80" s="73">
        <f>I80+H80+G80+F80</f>
        <v>0</v>
      </c>
    </row>
    <row r="81" spans="1:10" s="41" customFormat="1" ht="66.599999999999994">
      <c r="A81" s="428"/>
      <c r="B81" s="9" t="s">
        <v>174</v>
      </c>
      <c r="C81" s="10">
        <v>1</v>
      </c>
      <c r="D81" s="31">
        <v>24000</v>
      </c>
      <c r="E81" s="10">
        <v>0</v>
      </c>
      <c r="F81" s="31">
        <f>SUM(C81*D81*E81)</f>
        <v>0</v>
      </c>
      <c r="G81" s="31"/>
      <c r="H81" s="31"/>
      <c r="I81" s="31">
        <f>F81*16%</f>
        <v>0</v>
      </c>
      <c r="J81" s="32">
        <f>I81+H81+G81+F81</f>
        <v>0</v>
      </c>
    </row>
    <row r="82" spans="1:10" s="41" customFormat="1" ht="40.15">
      <c r="A82" s="428"/>
      <c r="B82" s="9" t="s">
        <v>204</v>
      </c>
      <c r="C82" s="10">
        <v>1</v>
      </c>
      <c r="D82" s="31">
        <v>0</v>
      </c>
      <c r="E82" s="10">
        <v>0</v>
      </c>
      <c r="F82" s="31">
        <f>SUM(C82*D82*E82)</f>
        <v>0</v>
      </c>
      <c r="G82" s="31"/>
      <c r="H82" s="31"/>
      <c r="I82" s="31">
        <f>F82*16%</f>
        <v>0</v>
      </c>
      <c r="J82" s="32">
        <f>I82+H82+G82+F82</f>
        <v>0</v>
      </c>
    </row>
    <row r="83" spans="1:10" s="41" customFormat="1" ht="66.599999999999994">
      <c r="A83" s="428"/>
      <c r="B83" s="9" t="s">
        <v>205</v>
      </c>
      <c r="C83" s="10">
        <v>1</v>
      </c>
      <c r="D83" s="11">
        <v>16000</v>
      </c>
      <c r="E83" s="10">
        <v>0</v>
      </c>
      <c r="F83" s="31">
        <f t="shared" si="34"/>
        <v>0</v>
      </c>
      <c r="G83" s="31"/>
      <c r="H83" s="31"/>
      <c r="I83" s="31">
        <f t="shared" ref="I83:I84" si="35">F83*16%</f>
        <v>0</v>
      </c>
      <c r="J83" s="32">
        <f t="shared" ref="J83:J84" si="36">I83+H83+G83+F83</f>
        <v>0</v>
      </c>
    </row>
    <row r="84" spans="1:10" s="41" customFormat="1" ht="53.45">
      <c r="A84" s="428"/>
      <c r="B84" s="9" t="s">
        <v>122</v>
      </c>
      <c r="C84" s="10">
        <v>1</v>
      </c>
      <c r="D84" s="11">
        <v>20000</v>
      </c>
      <c r="E84" s="10">
        <v>0</v>
      </c>
      <c r="F84" s="31">
        <f t="shared" si="34"/>
        <v>0</v>
      </c>
      <c r="G84" s="31"/>
      <c r="H84" s="31"/>
      <c r="I84" s="31">
        <f t="shared" si="35"/>
        <v>0</v>
      </c>
      <c r="J84" s="32">
        <f t="shared" si="36"/>
        <v>0</v>
      </c>
    </row>
    <row r="85" spans="1:10" s="41" customFormat="1" ht="63.6" customHeight="1">
      <c r="A85" s="428"/>
      <c r="B85" s="9" t="s">
        <v>176</v>
      </c>
      <c r="C85" s="10">
        <v>1</v>
      </c>
      <c r="D85" s="11">
        <v>12000</v>
      </c>
      <c r="E85" s="10">
        <v>0</v>
      </c>
      <c r="F85" s="31">
        <f t="shared" ref="F85:F98" si="37">SUM(C85*D85*E85)</f>
        <v>0</v>
      </c>
      <c r="G85" s="31"/>
      <c r="H85" s="31"/>
      <c r="I85" s="31">
        <f t="shared" ref="I85:I98" si="38">F85*16%</f>
        <v>0</v>
      </c>
      <c r="J85" s="32">
        <f t="shared" ref="J85:J98" si="39">I85+H85+G85+F85</f>
        <v>0</v>
      </c>
    </row>
    <row r="86" spans="1:10" s="41" customFormat="1" ht="63.6" customHeight="1">
      <c r="A86" s="428"/>
      <c r="B86" s="9" t="s">
        <v>177</v>
      </c>
      <c r="C86" s="10">
        <v>1</v>
      </c>
      <c r="D86" s="11">
        <v>12000</v>
      </c>
      <c r="E86" s="10">
        <v>0</v>
      </c>
      <c r="F86" s="31">
        <f t="shared" si="37"/>
        <v>0</v>
      </c>
      <c r="G86" s="31"/>
      <c r="H86" s="31"/>
      <c r="I86" s="31">
        <f t="shared" si="38"/>
        <v>0</v>
      </c>
      <c r="J86" s="32">
        <f t="shared" si="39"/>
        <v>0</v>
      </c>
    </row>
    <row r="87" spans="1:10" s="41" customFormat="1" ht="63.6" customHeight="1">
      <c r="A87" s="428"/>
      <c r="B87" s="9" t="s">
        <v>206</v>
      </c>
      <c r="C87" s="10">
        <v>1</v>
      </c>
      <c r="D87" s="11">
        <v>10000</v>
      </c>
      <c r="E87" s="10">
        <v>0</v>
      </c>
      <c r="F87" s="31">
        <f t="shared" si="37"/>
        <v>0</v>
      </c>
      <c r="G87" s="31"/>
      <c r="H87" s="31"/>
      <c r="I87" s="31">
        <f t="shared" si="38"/>
        <v>0</v>
      </c>
      <c r="J87" s="32">
        <f t="shared" si="39"/>
        <v>0</v>
      </c>
    </row>
    <row r="88" spans="1:10" s="41" customFormat="1" ht="67.900000000000006" customHeight="1">
      <c r="A88" s="428"/>
      <c r="B88" s="9" t="s">
        <v>178</v>
      </c>
      <c r="C88" s="10">
        <v>1</v>
      </c>
      <c r="D88" s="11">
        <v>12000</v>
      </c>
      <c r="E88" s="10">
        <v>0</v>
      </c>
      <c r="F88" s="31">
        <f t="shared" si="37"/>
        <v>0</v>
      </c>
      <c r="G88" s="31"/>
      <c r="H88" s="31"/>
      <c r="I88" s="31">
        <f t="shared" si="38"/>
        <v>0</v>
      </c>
      <c r="J88" s="32">
        <f t="shared" si="39"/>
        <v>0</v>
      </c>
    </row>
    <row r="89" spans="1:10" s="41" customFormat="1" ht="63.6" customHeight="1" thickBot="1">
      <c r="A89" s="429"/>
      <c r="B89" s="42" t="s">
        <v>179</v>
      </c>
      <c r="C89" s="43">
        <v>1</v>
      </c>
      <c r="D89" s="44">
        <v>16000</v>
      </c>
      <c r="E89" s="43">
        <v>0</v>
      </c>
      <c r="F89" s="63">
        <f t="shared" si="37"/>
        <v>0</v>
      </c>
      <c r="G89" s="63"/>
      <c r="H89" s="63"/>
      <c r="I89" s="63">
        <f t="shared" si="38"/>
        <v>0</v>
      </c>
      <c r="J89" s="64">
        <f t="shared" si="39"/>
        <v>0</v>
      </c>
    </row>
    <row r="90" spans="1:10" s="41" customFormat="1" ht="62.45" customHeight="1" thickBot="1">
      <c r="A90" s="93" t="s">
        <v>71</v>
      </c>
      <c r="B90" s="92" t="s">
        <v>207</v>
      </c>
      <c r="C90" s="94">
        <v>1</v>
      </c>
      <c r="D90" s="95">
        <v>0</v>
      </c>
      <c r="E90" s="94">
        <v>1</v>
      </c>
      <c r="F90" s="96">
        <f t="shared" si="37"/>
        <v>0</v>
      </c>
      <c r="G90" s="96"/>
      <c r="H90" s="96"/>
      <c r="I90" s="96">
        <f t="shared" si="38"/>
        <v>0</v>
      </c>
      <c r="J90" s="97">
        <f t="shared" si="39"/>
        <v>0</v>
      </c>
    </row>
    <row r="91" spans="1:10" s="41" customFormat="1" ht="27.6" thickBot="1">
      <c r="A91" s="75" t="s">
        <v>83</v>
      </c>
      <c r="B91" s="56" t="s">
        <v>208</v>
      </c>
      <c r="C91" s="57">
        <v>1</v>
      </c>
      <c r="D91" s="59">
        <v>0</v>
      </c>
      <c r="E91" s="57">
        <v>1</v>
      </c>
      <c r="F91" s="58">
        <f t="shared" ref="F91" si="40">SUM(C91*D91*E91)</f>
        <v>0</v>
      </c>
      <c r="G91" s="58"/>
      <c r="H91" s="58"/>
      <c r="I91" s="58">
        <f t="shared" ref="I91" si="41">F91*16%</f>
        <v>0</v>
      </c>
      <c r="J91" s="60">
        <f t="shared" ref="J91" si="42">I91+H91+G91+F91</f>
        <v>0</v>
      </c>
    </row>
    <row r="92" spans="1:10" s="41" customFormat="1" ht="36.75">
      <c r="A92" s="433" t="s">
        <v>127</v>
      </c>
      <c r="B92" s="70" t="s">
        <v>209</v>
      </c>
      <c r="C92" s="72">
        <v>1</v>
      </c>
      <c r="D92" s="74">
        <v>0</v>
      </c>
      <c r="E92" s="72">
        <v>3</v>
      </c>
      <c r="F92" s="71">
        <f t="shared" si="37"/>
        <v>0</v>
      </c>
      <c r="G92" s="71"/>
      <c r="H92" s="71"/>
      <c r="I92" s="71">
        <f t="shared" si="38"/>
        <v>0</v>
      </c>
      <c r="J92" s="73">
        <f t="shared" si="39"/>
        <v>0</v>
      </c>
    </row>
    <row r="93" spans="1:10" s="41" customFormat="1" ht="40.15">
      <c r="A93" s="428"/>
      <c r="B93" s="9" t="s">
        <v>210</v>
      </c>
      <c r="C93" s="10">
        <v>1</v>
      </c>
      <c r="D93" s="11">
        <v>0</v>
      </c>
      <c r="E93" s="10">
        <v>3</v>
      </c>
      <c r="F93" s="31">
        <f t="shared" si="37"/>
        <v>0</v>
      </c>
      <c r="G93" s="31"/>
      <c r="H93" s="31"/>
      <c r="I93" s="31">
        <f t="shared" si="38"/>
        <v>0</v>
      </c>
      <c r="J93" s="32">
        <f t="shared" si="39"/>
        <v>0</v>
      </c>
    </row>
    <row r="94" spans="1:10" s="41" customFormat="1" ht="40.15">
      <c r="A94" s="428"/>
      <c r="B94" s="9" t="s">
        <v>211</v>
      </c>
      <c r="C94" s="10">
        <v>1</v>
      </c>
      <c r="D94" s="11">
        <v>0</v>
      </c>
      <c r="E94" s="10">
        <v>3</v>
      </c>
      <c r="F94" s="31">
        <f t="shared" si="37"/>
        <v>0</v>
      </c>
      <c r="G94" s="31"/>
      <c r="H94" s="31"/>
      <c r="I94" s="31">
        <f t="shared" si="38"/>
        <v>0</v>
      </c>
      <c r="J94" s="32">
        <f t="shared" si="39"/>
        <v>0</v>
      </c>
    </row>
    <row r="95" spans="1:10" s="41" customFormat="1" ht="40.15">
      <c r="A95" s="428"/>
      <c r="B95" s="9" t="s">
        <v>212</v>
      </c>
      <c r="C95" s="10">
        <v>1</v>
      </c>
      <c r="D95" s="11">
        <v>0</v>
      </c>
      <c r="E95" s="10">
        <v>3</v>
      </c>
      <c r="F95" s="31">
        <f t="shared" si="37"/>
        <v>0</v>
      </c>
      <c r="G95" s="31"/>
      <c r="H95" s="31"/>
      <c r="I95" s="31">
        <f t="shared" si="38"/>
        <v>0</v>
      </c>
      <c r="J95" s="32">
        <f t="shared" si="39"/>
        <v>0</v>
      </c>
    </row>
    <row r="96" spans="1:10" s="41" customFormat="1" ht="40.15">
      <c r="A96" s="428"/>
      <c r="B96" s="9" t="s">
        <v>213</v>
      </c>
      <c r="C96" s="10">
        <v>1</v>
      </c>
      <c r="D96" s="11">
        <v>0</v>
      </c>
      <c r="E96" s="10">
        <v>3</v>
      </c>
      <c r="F96" s="31">
        <f t="shared" si="37"/>
        <v>0</v>
      </c>
      <c r="G96" s="31"/>
      <c r="H96" s="31"/>
      <c r="I96" s="31">
        <f t="shared" si="38"/>
        <v>0</v>
      </c>
      <c r="J96" s="32">
        <f t="shared" si="39"/>
        <v>0</v>
      </c>
    </row>
    <row r="97" spans="1:10" s="41" customFormat="1" ht="40.15">
      <c r="A97" s="428"/>
      <c r="B97" s="9" t="s">
        <v>214</v>
      </c>
      <c r="C97" s="10">
        <v>1</v>
      </c>
      <c r="D97" s="11">
        <v>0</v>
      </c>
      <c r="E97" s="10">
        <v>3</v>
      </c>
      <c r="F97" s="31">
        <f t="shared" si="37"/>
        <v>0</v>
      </c>
      <c r="G97" s="31"/>
      <c r="H97" s="31"/>
      <c r="I97" s="31">
        <f t="shared" si="38"/>
        <v>0</v>
      </c>
      <c r="J97" s="32">
        <f t="shared" si="39"/>
        <v>0</v>
      </c>
    </row>
    <row r="98" spans="1:10" s="41" customFormat="1" ht="40.9" thickBot="1">
      <c r="A98" s="429"/>
      <c r="B98" s="14" t="s">
        <v>215</v>
      </c>
      <c r="C98" s="15">
        <v>1</v>
      </c>
      <c r="D98" s="16">
        <v>0</v>
      </c>
      <c r="E98" s="15">
        <v>3</v>
      </c>
      <c r="F98" s="33">
        <f t="shared" si="37"/>
        <v>0</v>
      </c>
      <c r="G98" s="33"/>
      <c r="H98" s="33"/>
      <c r="I98" s="33">
        <f t="shared" si="38"/>
        <v>0</v>
      </c>
      <c r="J98" s="34">
        <f t="shared" si="39"/>
        <v>0</v>
      </c>
    </row>
    <row r="99" spans="1:10" ht="15" thickBot="1">
      <c r="A99" s="18"/>
      <c r="B99" s="19" t="s">
        <v>78</v>
      </c>
      <c r="C99" s="20"/>
      <c r="D99" s="21"/>
      <c r="E99" s="20"/>
      <c r="F99" s="38">
        <f>SUM(F80:F98)</f>
        <v>0</v>
      </c>
      <c r="G99" s="38">
        <f>SUM(G80:G98)</f>
        <v>0</v>
      </c>
      <c r="H99" s="38">
        <f>SUM(H80:H98)</f>
        <v>0</v>
      </c>
      <c r="I99" s="38">
        <f>SUM(I80:I98)</f>
        <v>0</v>
      </c>
      <c r="J99" s="38">
        <f>SUM(J80:J98)</f>
        <v>0</v>
      </c>
    </row>
    <row r="100" spans="1:10" ht="15" thickBot="1">
      <c r="A100" s="23"/>
      <c r="B100" s="28" t="s">
        <v>135</v>
      </c>
      <c r="C100" s="82"/>
      <c r="D100" s="83"/>
      <c r="E100" s="82"/>
      <c r="F100" s="83">
        <f>F99</f>
        <v>0</v>
      </c>
      <c r="G100" s="83">
        <f>G99</f>
        <v>0</v>
      </c>
      <c r="H100" s="83">
        <f>H99</f>
        <v>0</v>
      </c>
      <c r="I100" s="83">
        <f>I99</f>
        <v>0</v>
      </c>
      <c r="J100" s="37">
        <f>J99</f>
        <v>0</v>
      </c>
    </row>
    <row r="101" spans="1:10" ht="15" thickBot="1">
      <c r="A101" s="23"/>
      <c r="B101" s="29"/>
      <c r="C101" s="20"/>
      <c r="D101" s="30"/>
      <c r="E101" s="20"/>
      <c r="F101" s="30"/>
      <c r="G101" s="30"/>
      <c r="H101" s="30"/>
      <c r="I101" s="30"/>
      <c r="J101" s="30"/>
    </row>
    <row r="102" spans="1:10" ht="15" thickBot="1">
      <c r="A102" s="431" t="s">
        <v>136</v>
      </c>
      <c r="B102" s="432"/>
      <c r="C102" s="7"/>
      <c r="D102" s="7"/>
      <c r="E102" s="7"/>
      <c r="F102" s="7"/>
      <c r="G102" s="7"/>
      <c r="H102" s="7"/>
      <c r="I102" s="7"/>
      <c r="J102" s="7"/>
    </row>
    <row r="103" spans="1:10" ht="15" thickBot="1">
      <c r="A103" s="78" t="s">
        <v>62</v>
      </c>
      <c r="B103" s="79" t="s">
        <v>13</v>
      </c>
      <c r="C103" s="80" t="s">
        <v>63</v>
      </c>
      <c r="D103" s="80" t="s">
        <v>64</v>
      </c>
      <c r="E103" s="80" t="s">
        <v>65</v>
      </c>
      <c r="F103" s="80" t="s">
        <v>66</v>
      </c>
      <c r="G103" s="80" t="s">
        <v>27</v>
      </c>
      <c r="H103" s="80" t="s">
        <v>68</v>
      </c>
      <c r="I103" s="80" t="s">
        <v>69</v>
      </c>
      <c r="J103" s="8" t="s">
        <v>70</v>
      </c>
    </row>
    <row r="104" spans="1:10" s="41" customFormat="1" ht="27">
      <c r="A104" s="434" t="s">
        <v>137</v>
      </c>
      <c r="B104" s="70" t="s">
        <v>138</v>
      </c>
      <c r="C104" s="72">
        <v>4</v>
      </c>
      <c r="D104" s="74">
        <v>8878.2999999999993</v>
      </c>
      <c r="E104" s="72">
        <v>5</v>
      </c>
      <c r="F104" s="74">
        <f>SUM(C104*D104*E104)</f>
        <v>177566</v>
      </c>
      <c r="G104" s="74">
        <f>222*C104*E104</f>
        <v>4440</v>
      </c>
      <c r="H104" s="74">
        <f>397.1*C104*E104</f>
        <v>7942</v>
      </c>
      <c r="I104" s="74">
        <f>(F104+G104+H104)*16%</f>
        <v>30391.68</v>
      </c>
      <c r="J104" s="81">
        <f t="shared" ref="J104:J105" si="43">I104+H104+G104+F104</f>
        <v>220339.68</v>
      </c>
    </row>
    <row r="105" spans="1:10" s="41" customFormat="1" ht="15" thickBot="1">
      <c r="A105" s="435"/>
      <c r="B105" s="14" t="s">
        <v>73</v>
      </c>
      <c r="C105" s="15">
        <v>4</v>
      </c>
      <c r="D105" s="16">
        <v>82.4</v>
      </c>
      <c r="E105" s="15">
        <v>5</v>
      </c>
      <c r="F105" s="16"/>
      <c r="G105" s="16"/>
      <c r="H105" s="16">
        <f>E105*D105*C105</f>
        <v>1648</v>
      </c>
      <c r="I105" s="16">
        <v>0</v>
      </c>
      <c r="J105" s="17">
        <f t="shared" si="43"/>
        <v>1648</v>
      </c>
    </row>
    <row r="106" spans="1:10" s="41" customFormat="1" ht="27">
      <c r="A106" s="435"/>
      <c r="B106" s="70" t="s">
        <v>139</v>
      </c>
      <c r="C106" s="72">
        <v>1</v>
      </c>
      <c r="D106" s="74">
        <v>8878.2999999999993</v>
      </c>
      <c r="E106" s="72">
        <v>5</v>
      </c>
      <c r="F106" s="74">
        <f>SUM(C106*D106*E106)</f>
        <v>44391.5</v>
      </c>
      <c r="G106" s="74">
        <f>222*C106*E106</f>
        <v>1110</v>
      </c>
      <c r="H106" s="74">
        <f>397.1*C106*E106</f>
        <v>1985.5</v>
      </c>
      <c r="I106" s="74">
        <f>(F106+G106+H106)*16%</f>
        <v>7597.92</v>
      </c>
      <c r="J106" s="81">
        <f t="shared" ref="J106:J107" si="44">I106+H106+G106+F106</f>
        <v>55084.92</v>
      </c>
    </row>
    <row r="107" spans="1:10" s="41" customFormat="1" ht="15" thickBot="1">
      <c r="A107" s="435"/>
      <c r="B107" s="14" t="s">
        <v>73</v>
      </c>
      <c r="C107" s="15">
        <v>1</v>
      </c>
      <c r="D107" s="16">
        <v>82.4</v>
      </c>
      <c r="E107" s="15">
        <v>5</v>
      </c>
      <c r="F107" s="16"/>
      <c r="G107" s="16"/>
      <c r="H107" s="16">
        <f>E107*D107*C107</f>
        <v>412</v>
      </c>
      <c r="I107" s="16">
        <v>0</v>
      </c>
      <c r="J107" s="17">
        <f t="shared" si="44"/>
        <v>412</v>
      </c>
    </row>
    <row r="108" spans="1:10" s="41" customFormat="1" ht="15">
      <c r="A108" s="435"/>
      <c r="B108" s="528" t="s">
        <v>140</v>
      </c>
      <c r="C108" s="529">
        <v>10</v>
      </c>
      <c r="D108" s="530">
        <v>6046</v>
      </c>
      <c r="E108" s="529">
        <v>1</v>
      </c>
      <c r="F108" s="530">
        <f>SUM(C108*D108*E108)</f>
        <v>60460</v>
      </c>
      <c r="G108" s="530">
        <v>0</v>
      </c>
      <c r="H108" s="530">
        <f>2355*C108</f>
        <v>23550</v>
      </c>
      <c r="I108" s="530">
        <f>968*C108</f>
        <v>9680</v>
      </c>
      <c r="J108" s="530">
        <f>I108+H108+G108+F108</f>
        <v>93690</v>
      </c>
    </row>
    <row r="109" spans="1:10" s="41" customFormat="1" ht="15">
      <c r="A109" s="437"/>
      <c r="B109" s="528" t="s">
        <v>141</v>
      </c>
      <c r="C109" s="529">
        <v>10</v>
      </c>
      <c r="D109" s="530">
        <v>230</v>
      </c>
      <c r="E109" s="529">
        <v>1</v>
      </c>
      <c r="F109" s="530">
        <f>C109*D109*E109</f>
        <v>2300</v>
      </c>
      <c r="G109" s="530"/>
      <c r="H109" s="530"/>
      <c r="I109" s="530">
        <f>F109*16%</f>
        <v>368</v>
      </c>
      <c r="J109" s="530">
        <f>SUM(F109:I109)</f>
        <v>2668</v>
      </c>
    </row>
    <row r="110" spans="1:10" s="41" customFormat="1" ht="19.899999999999999" customHeight="1">
      <c r="A110" s="436"/>
      <c r="B110" s="14" t="s">
        <v>142</v>
      </c>
      <c r="C110" s="15">
        <v>10</v>
      </c>
      <c r="D110" s="16">
        <v>1500</v>
      </c>
      <c r="E110" s="15">
        <v>5</v>
      </c>
      <c r="F110" s="16">
        <f t="shared" ref="F108:F110" si="45">SUM(C110*D110*E110)</f>
        <v>75000</v>
      </c>
      <c r="G110" s="16">
        <v>0</v>
      </c>
      <c r="H110" s="16">
        <v>0</v>
      </c>
      <c r="I110" s="16">
        <f t="shared" ref="I108:I110" si="46">(F110*16%)+(G110*16%)+(H110*16%)</f>
        <v>12000</v>
      </c>
      <c r="J110" s="17">
        <f t="shared" ref="J108:J110" si="47">I110+H110+G110+F110</f>
        <v>87000</v>
      </c>
    </row>
    <row r="111" spans="1:10" ht="15" thickBot="1">
      <c r="A111" s="18"/>
      <c r="B111" s="19" t="s">
        <v>78</v>
      </c>
      <c r="C111" s="35"/>
      <c r="D111" s="36"/>
      <c r="E111" s="35"/>
      <c r="F111" s="65">
        <f>SUM(F104:F110)</f>
        <v>359717.5</v>
      </c>
      <c r="G111" s="65">
        <f>SUM(G104:G110)</f>
        <v>5550</v>
      </c>
      <c r="H111" s="65">
        <f t="shared" ref="H111:J111" si="48">SUM(H104:H110)</f>
        <v>35537.5</v>
      </c>
      <c r="I111" s="65">
        <f t="shared" si="48"/>
        <v>60037.599999999999</v>
      </c>
      <c r="J111" s="65">
        <f t="shared" si="48"/>
        <v>460842.6</v>
      </c>
    </row>
    <row r="112" spans="1:10" ht="27" thickBot="1">
      <c r="A112" s="23"/>
      <c r="B112" s="28" t="s">
        <v>143</v>
      </c>
      <c r="C112" s="82"/>
      <c r="D112" s="83"/>
      <c r="E112" s="82"/>
      <c r="F112" s="83">
        <f>F111</f>
        <v>359717.5</v>
      </c>
      <c r="G112" s="83">
        <f>G111</f>
        <v>5550</v>
      </c>
      <c r="H112" s="83">
        <f>H111</f>
        <v>35537.5</v>
      </c>
      <c r="I112" s="83">
        <f>I111</f>
        <v>60037.599999999999</v>
      </c>
      <c r="J112" s="83">
        <f>J111</f>
        <v>460842.6</v>
      </c>
    </row>
    <row r="113" spans="1:10">
      <c r="A113" s="23"/>
      <c r="B113" s="24"/>
      <c r="C113" s="25"/>
      <c r="D113" s="26"/>
      <c r="E113" s="25"/>
      <c r="F113" s="26"/>
      <c r="G113" s="26"/>
      <c r="H113" s="26"/>
      <c r="I113" s="26"/>
      <c r="J113" s="26"/>
    </row>
    <row r="114" spans="1:10" ht="24" thickBot="1">
      <c r="A114" s="430" t="s">
        <v>1</v>
      </c>
      <c r="B114" s="430"/>
      <c r="C114" s="430"/>
      <c r="D114" s="430"/>
      <c r="E114" s="430"/>
      <c r="F114" s="26"/>
      <c r="G114" s="26"/>
      <c r="H114" s="26"/>
      <c r="I114" s="26"/>
      <c r="J114" s="26"/>
    </row>
    <row r="115" spans="1:10" ht="15" thickBot="1">
      <c r="A115" s="39"/>
      <c r="B115" s="85"/>
      <c r="C115" s="82"/>
      <c r="D115" s="83"/>
      <c r="E115" s="86" t="s">
        <v>144</v>
      </c>
      <c r="F115" s="83">
        <f>F28</f>
        <v>5835347.0999999987</v>
      </c>
      <c r="G115" s="83">
        <f>G28</f>
        <v>142826.6</v>
      </c>
      <c r="H115" s="83">
        <f>H28</f>
        <v>298818.09999999998</v>
      </c>
      <c r="I115" s="83">
        <f>I28</f>
        <v>995551.32799999975</v>
      </c>
      <c r="J115" s="83">
        <f>SUM(F115:I115)</f>
        <v>7272543.1279999977</v>
      </c>
    </row>
    <row r="116" spans="1:10" ht="15" thickBot="1">
      <c r="A116" s="39"/>
      <c r="B116" s="85"/>
      <c r="C116" s="82"/>
      <c r="D116" s="83"/>
      <c r="E116" s="86" t="s">
        <v>145</v>
      </c>
      <c r="F116" s="83">
        <f>F54</f>
        <v>840500</v>
      </c>
      <c r="G116" s="83">
        <f>G54</f>
        <v>0</v>
      </c>
      <c r="H116" s="83">
        <f>H54</f>
        <v>126075</v>
      </c>
      <c r="I116" s="83">
        <f>I54</f>
        <v>154652</v>
      </c>
      <c r="J116" s="83">
        <f>SUM(F116:I116)</f>
        <v>1121227</v>
      </c>
    </row>
    <row r="117" spans="1:10" ht="15" thickBot="1">
      <c r="A117" s="39"/>
      <c r="B117" s="85"/>
      <c r="C117" s="82"/>
      <c r="D117" s="83"/>
      <c r="E117" s="86" t="s">
        <v>146</v>
      </c>
      <c r="F117" s="83">
        <f>F69</f>
        <v>262440</v>
      </c>
      <c r="G117" s="83">
        <f>G69</f>
        <v>0</v>
      </c>
      <c r="H117" s="83">
        <f>H69</f>
        <v>15746.4</v>
      </c>
      <c r="I117" s="83">
        <f>I69</f>
        <v>41990.400000000009</v>
      </c>
      <c r="J117" s="83">
        <f>SUM(F117:I117)</f>
        <v>320176.80000000005</v>
      </c>
    </row>
    <row r="118" spans="1:10" ht="15" thickBot="1">
      <c r="A118" s="39"/>
      <c r="B118" s="85"/>
      <c r="C118" s="82"/>
      <c r="D118" s="83"/>
      <c r="E118" s="86" t="str">
        <f>A71</f>
        <v>TELEMARKETING</v>
      </c>
      <c r="F118" s="83">
        <f>F76</f>
        <v>0</v>
      </c>
      <c r="G118" s="83">
        <f>G76</f>
        <v>0</v>
      </c>
      <c r="H118" s="83">
        <f>H76</f>
        <v>0</v>
      </c>
      <c r="I118" s="83">
        <f>I76</f>
        <v>0</v>
      </c>
      <c r="J118" s="83">
        <f>SUM(F118:I118)</f>
        <v>0</v>
      </c>
    </row>
    <row r="119" spans="1:10" ht="15" thickBot="1">
      <c r="A119" s="39"/>
      <c r="B119" s="85"/>
      <c r="C119" s="82"/>
      <c r="D119" s="83"/>
      <c r="E119" s="86" t="s">
        <v>30</v>
      </c>
      <c r="F119" s="83">
        <f>F100</f>
        <v>0</v>
      </c>
      <c r="G119" s="83">
        <f>G100</f>
        <v>0</v>
      </c>
      <c r="H119" s="83">
        <f>H100</f>
        <v>0</v>
      </c>
      <c r="I119" s="83">
        <f>I100</f>
        <v>0</v>
      </c>
      <c r="J119" s="83">
        <f>SUM(F119:I119)</f>
        <v>0</v>
      </c>
    </row>
    <row r="120" spans="1:10" ht="15" thickBot="1">
      <c r="A120" s="40"/>
      <c r="B120" s="87"/>
      <c r="C120" s="88"/>
      <c r="D120" s="89"/>
      <c r="E120" s="90" t="s">
        <v>147</v>
      </c>
      <c r="F120" s="89">
        <f>SUM(F115:F119)</f>
        <v>6938287.0999999987</v>
      </c>
      <c r="G120" s="89">
        <f t="shared" ref="G120:I120" si="49">SUM(G115:G119)</f>
        <v>142826.6</v>
      </c>
      <c r="H120" s="89">
        <f t="shared" si="49"/>
        <v>440639.5</v>
      </c>
      <c r="I120" s="89">
        <f t="shared" si="49"/>
        <v>1192193.7279999997</v>
      </c>
      <c r="J120" s="89">
        <f>SUM(J115:J119)</f>
        <v>8713946.9279999994</v>
      </c>
    </row>
    <row r="121" spans="1:10" ht="15" thickBot="1">
      <c r="A121" s="39"/>
      <c r="B121" s="85"/>
      <c r="C121" s="82"/>
      <c r="D121" s="83"/>
      <c r="E121" s="86" t="s">
        <v>148</v>
      </c>
      <c r="F121" s="83">
        <f>(F115+F116+F117+F118+F119)*6%</f>
        <v>416297.22599999991</v>
      </c>
      <c r="G121" s="83"/>
      <c r="H121" s="83"/>
      <c r="I121" s="83">
        <f>F121*16%</f>
        <v>66607.556159999993</v>
      </c>
      <c r="J121" s="83">
        <f>SUM(F121:I121)</f>
        <v>482904.78215999989</v>
      </c>
    </row>
    <row r="122" spans="1:10" ht="15" thickBot="1">
      <c r="A122" s="39"/>
      <c r="B122" s="85"/>
      <c r="C122" s="82"/>
      <c r="D122" s="83"/>
      <c r="E122" s="86" t="s">
        <v>149</v>
      </c>
      <c r="F122" s="83">
        <f>F112</f>
        <v>359717.5</v>
      </c>
      <c r="G122" s="83">
        <f>G112</f>
        <v>5550</v>
      </c>
      <c r="H122" s="83">
        <f>H112</f>
        <v>35537.5</v>
      </c>
      <c r="I122" s="83">
        <f>I112</f>
        <v>60037.599999999999</v>
      </c>
      <c r="J122" s="83">
        <f>SUM(F122:I122)</f>
        <v>460842.6</v>
      </c>
    </row>
    <row r="123" spans="1:10" ht="15" thickBot="1">
      <c r="A123" s="40"/>
      <c r="B123" s="87"/>
      <c r="C123" s="88"/>
      <c r="D123" s="89"/>
      <c r="E123" s="90" t="s">
        <v>150</v>
      </c>
      <c r="F123" s="89">
        <f>SUM(F120:F122)</f>
        <v>7714301.8259999985</v>
      </c>
      <c r="G123" s="89">
        <f>SUM(G120:G122)</f>
        <v>148376.6</v>
      </c>
      <c r="H123" s="89">
        <f>SUM(H120:H122)</f>
        <v>476177</v>
      </c>
      <c r="I123" s="89">
        <f>SUM(I120:I122)</f>
        <v>1318838.8841599997</v>
      </c>
      <c r="J123" s="89">
        <f>SUM(J120:J122)</f>
        <v>9657694.310159998</v>
      </c>
    </row>
    <row r="125" spans="1:10">
      <c r="A125" s="98" t="s">
        <v>192</v>
      </c>
    </row>
    <row r="126" spans="1:10">
      <c r="A126" s="98" t="s">
        <v>151</v>
      </c>
    </row>
    <row r="127" spans="1:10" ht="15"/>
    <row r="128" spans="1:10" ht="15"/>
    <row r="129" ht="15"/>
    <row r="130" ht="15"/>
    <row r="132" ht="15"/>
    <row r="133" ht="15"/>
  </sheetData>
  <mergeCells count="28">
    <mergeCell ref="A57:B57"/>
    <mergeCell ref="A71:B71"/>
    <mergeCell ref="A78:B78"/>
    <mergeCell ref="A102:B102"/>
    <mergeCell ref="A114:E114"/>
    <mergeCell ref="A104:A110"/>
    <mergeCell ref="A59:A65"/>
    <mergeCell ref="A66:A67"/>
    <mergeCell ref="A92:A98"/>
    <mergeCell ref="A80:A89"/>
    <mergeCell ref="A21:A25"/>
    <mergeCell ref="A31:B31"/>
    <mergeCell ref="A33:A34"/>
    <mergeCell ref="A41:A46"/>
    <mergeCell ref="A47:A51"/>
    <mergeCell ref="A35:A40"/>
    <mergeCell ref="A19:A20"/>
    <mergeCell ref="A1:J5"/>
    <mergeCell ref="B7:J7"/>
    <mergeCell ref="B8:J8"/>
    <mergeCell ref="B9:J9"/>
    <mergeCell ref="B10:J10"/>
    <mergeCell ref="B11:J11"/>
    <mergeCell ref="B12:J12"/>
    <mergeCell ref="B13:J13"/>
    <mergeCell ref="F14:G14"/>
    <mergeCell ref="H14:J14"/>
    <mergeCell ref="A17:B17"/>
  </mergeCells>
  <pageMargins left="0.7" right="0.7" top="0.75" bottom="0.75" header="0.3" footer="0.3"/>
  <ignoredErrors>
    <ignoredError sqref="H23 H20:H21 H25 H105:H106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7014-CAFA-424B-8CC8-65F6DCD6AC2F}">
  <sheetPr>
    <tabColor theme="0"/>
  </sheetPr>
  <dimension ref="A1:N131"/>
  <sheetViews>
    <sheetView zoomScale="90" zoomScaleNormal="90" workbookViewId="0">
      <selection activeCell="B8" sqref="B8:J8"/>
    </sheetView>
  </sheetViews>
  <sheetFormatPr defaultColWidth="8.85546875" defaultRowHeight="14.45"/>
  <cols>
    <col min="1" max="1" width="20.7109375" customWidth="1"/>
    <col min="2" max="2" width="49.140625" customWidth="1"/>
    <col min="3" max="3" width="10.5703125" customWidth="1"/>
    <col min="4" max="5" width="13.85546875" customWidth="1"/>
    <col min="6" max="6" width="16.85546875" customWidth="1"/>
    <col min="7" max="8" width="13.85546875" customWidth="1"/>
    <col min="9" max="9" width="15.28515625" bestFit="1" customWidth="1"/>
    <col min="10" max="10" width="19.28515625" customWidth="1"/>
    <col min="12" max="12" width="12.28515625" bestFit="1" customWidth="1"/>
  </cols>
  <sheetData>
    <row r="1" spans="1:10" ht="15" thickTop="1">
      <c r="A1" s="438" t="s">
        <v>44</v>
      </c>
      <c r="B1" s="439"/>
      <c r="C1" s="439"/>
      <c r="D1" s="439"/>
      <c r="E1" s="439"/>
      <c r="F1" s="439"/>
      <c r="G1" s="439"/>
      <c r="H1" s="439"/>
      <c r="I1" s="439"/>
      <c r="J1" s="440"/>
    </row>
    <row r="2" spans="1:10">
      <c r="A2" s="441"/>
      <c r="B2" s="442"/>
      <c r="C2" s="442"/>
      <c r="D2" s="442"/>
      <c r="E2" s="442"/>
      <c r="F2" s="442"/>
      <c r="G2" s="442"/>
      <c r="H2" s="442"/>
      <c r="I2" s="442"/>
      <c r="J2" s="443"/>
    </row>
    <row r="3" spans="1:10">
      <c r="A3" s="441"/>
      <c r="B3" s="442"/>
      <c r="C3" s="442"/>
      <c r="D3" s="442"/>
      <c r="E3" s="442"/>
      <c r="F3" s="442"/>
      <c r="G3" s="442"/>
      <c r="H3" s="442"/>
      <c r="I3" s="442"/>
      <c r="J3" s="443"/>
    </row>
    <row r="4" spans="1:10">
      <c r="A4" s="441"/>
      <c r="B4" s="442"/>
      <c r="C4" s="442"/>
      <c r="D4" s="442"/>
      <c r="E4" s="442"/>
      <c r="F4" s="442"/>
      <c r="G4" s="442"/>
      <c r="H4" s="442"/>
      <c r="I4" s="442"/>
      <c r="J4" s="443"/>
    </row>
    <row r="5" spans="1:10" ht="15" thickBot="1">
      <c r="A5" s="444"/>
      <c r="B5" s="445"/>
      <c r="C5" s="445"/>
      <c r="D5" s="445"/>
      <c r="E5" s="445"/>
      <c r="F5" s="445"/>
      <c r="G5" s="445"/>
      <c r="H5" s="445"/>
      <c r="I5" s="445"/>
      <c r="J5" s="446"/>
    </row>
    <row r="6" spans="1:10" ht="15" thickTop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 customHeight="1">
      <c r="A7" s="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6">
      <c r="A8" s="2" t="s">
        <v>46</v>
      </c>
      <c r="B8" s="448" t="s">
        <v>216</v>
      </c>
      <c r="C8" s="448"/>
      <c r="D8" s="448"/>
      <c r="E8" s="448"/>
      <c r="F8" s="448"/>
      <c r="G8" s="448"/>
      <c r="H8" s="448"/>
      <c r="I8" s="448"/>
      <c r="J8" s="448"/>
    </row>
    <row r="9" spans="1:10" ht="15.6">
      <c r="A9" s="2" t="s">
        <v>48</v>
      </c>
      <c r="B9" s="449" t="s">
        <v>217</v>
      </c>
      <c r="C9" s="449"/>
      <c r="D9" s="449"/>
      <c r="E9" s="449"/>
      <c r="F9" s="449"/>
      <c r="G9" s="449"/>
      <c r="H9" s="449"/>
      <c r="I9" s="449"/>
      <c r="J9" s="449"/>
    </row>
    <row r="10" spans="1:10" ht="15.6">
      <c r="A10" s="2" t="s">
        <v>50</v>
      </c>
      <c r="B10" s="450" t="s">
        <v>195</v>
      </c>
      <c r="C10" s="450"/>
      <c r="D10" s="450"/>
      <c r="E10" s="450"/>
      <c r="F10" s="450"/>
      <c r="G10" s="450"/>
      <c r="H10" s="450"/>
      <c r="I10" s="450"/>
      <c r="J10" s="450"/>
    </row>
    <row r="11" spans="1:10" ht="15.75">
      <c r="A11" s="2" t="s">
        <v>52</v>
      </c>
      <c r="B11" s="450" t="s">
        <v>154</v>
      </c>
      <c r="C11" s="450"/>
      <c r="D11" s="450"/>
      <c r="E11" s="450"/>
      <c r="F11" s="450"/>
      <c r="G11" s="450"/>
      <c r="H11" s="450"/>
      <c r="I11" s="450"/>
      <c r="J11" s="450"/>
    </row>
    <row r="12" spans="1:10" ht="15.6" customHeight="1">
      <c r="A12" s="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2" t="s">
        <v>56</v>
      </c>
      <c r="B13" s="450"/>
      <c r="C13" s="450"/>
      <c r="D13" s="450"/>
      <c r="E13" s="450"/>
      <c r="F13" s="450"/>
      <c r="G13" s="450"/>
      <c r="H13" s="450"/>
      <c r="I13" s="450"/>
      <c r="J13" s="450"/>
    </row>
    <row r="14" spans="1:10">
      <c r="A14" s="3" t="s">
        <v>57</v>
      </c>
      <c r="B14" s="4" t="s">
        <v>58</v>
      </c>
      <c r="C14" s="5" t="s">
        <v>59</v>
      </c>
      <c r="D14" s="6">
        <v>0</v>
      </c>
      <c r="E14" s="7"/>
      <c r="F14" s="451" t="s">
        <v>60</v>
      </c>
      <c r="G14" s="451"/>
      <c r="H14" s="452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" thickBo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ht="15" customHeight="1" thickBot="1">
      <c r="A17" s="431" t="s">
        <v>61</v>
      </c>
      <c r="B17" s="432"/>
      <c r="C17" s="7"/>
      <c r="D17" s="7"/>
      <c r="E17" s="7"/>
      <c r="F17" s="7"/>
      <c r="G17" s="7"/>
      <c r="H17" s="7"/>
      <c r="I17" s="7"/>
      <c r="J17" s="7"/>
    </row>
    <row r="18" spans="1:12" ht="15" thickBot="1">
      <c r="A18" s="78" t="s">
        <v>62</v>
      </c>
      <c r="B18" s="79" t="s">
        <v>13</v>
      </c>
      <c r="C18" s="80" t="s">
        <v>63</v>
      </c>
      <c r="D18" s="80" t="s">
        <v>64</v>
      </c>
      <c r="E18" s="80" t="s">
        <v>65</v>
      </c>
      <c r="F18" s="80" t="s">
        <v>66</v>
      </c>
      <c r="G18" s="80" t="s">
        <v>67</v>
      </c>
      <c r="H18" s="80" t="s">
        <v>68</v>
      </c>
      <c r="I18" s="80" t="s">
        <v>69</v>
      </c>
      <c r="J18" s="8" t="s">
        <v>70</v>
      </c>
    </row>
    <row r="19" spans="1:12" s="41" customFormat="1">
      <c r="A19" s="427" t="s">
        <v>71</v>
      </c>
      <c r="B19" s="70" t="s">
        <v>72</v>
      </c>
      <c r="C19" s="72">
        <v>5</v>
      </c>
      <c r="D19" s="74">
        <v>10021.85</v>
      </c>
      <c r="E19" s="72">
        <v>1</v>
      </c>
      <c r="F19" s="74">
        <f>SUM(C19*D19*E19)</f>
        <v>50109.25</v>
      </c>
      <c r="G19" s="74">
        <f>300.66*C19*E19</f>
        <v>1503.3000000000002</v>
      </c>
      <c r="H19" s="74">
        <f>155*C19*E19</f>
        <v>775</v>
      </c>
      <c r="I19" s="74">
        <f>(F19+G19+H19)*16%</f>
        <v>8382.0079999999998</v>
      </c>
      <c r="J19" s="81">
        <f>I19+H19+G19+F19</f>
        <v>60769.558000000005</v>
      </c>
      <c r="L19" s="123"/>
    </row>
    <row r="20" spans="1:12" s="41" customFormat="1" ht="15">
      <c r="A20" s="429"/>
      <c r="B20" s="14" t="s">
        <v>73</v>
      </c>
      <c r="C20" s="15">
        <v>5</v>
      </c>
      <c r="D20" s="16">
        <v>79</v>
      </c>
      <c r="E20" s="15">
        <v>1</v>
      </c>
      <c r="F20" s="16"/>
      <c r="G20" s="16"/>
      <c r="H20" s="16">
        <f>E20*D20*C20</f>
        <v>395</v>
      </c>
      <c r="I20" s="16">
        <v>0</v>
      </c>
      <c r="J20" s="17">
        <f t="shared" ref="J20:J25" si="0">I20+H20+G20+F20</f>
        <v>395</v>
      </c>
    </row>
    <row r="21" spans="1:12" s="41" customFormat="1" ht="14.45" customHeight="1">
      <c r="A21" s="427" t="s">
        <v>74</v>
      </c>
      <c r="B21" s="46" t="s">
        <v>72</v>
      </c>
      <c r="C21" s="47">
        <v>30</v>
      </c>
      <c r="D21" s="48">
        <v>10021.85</v>
      </c>
      <c r="E21" s="47">
        <v>3</v>
      </c>
      <c r="F21" s="48">
        <f>SUM(C21*D21*E21)</f>
        <v>901966.5</v>
      </c>
      <c r="G21" s="48">
        <f>300.66*C21*E21</f>
        <v>27059.4</v>
      </c>
      <c r="H21" s="48">
        <f>155*C21*E21</f>
        <v>13950</v>
      </c>
      <c r="I21" s="74">
        <f>(F21+G21+H21)*16%</f>
        <v>150876.144</v>
      </c>
      <c r="J21" s="49">
        <f>I21+H21+G21+F21</f>
        <v>1093852.044</v>
      </c>
    </row>
    <row r="22" spans="1:12" s="41" customFormat="1" ht="15">
      <c r="A22" s="428"/>
      <c r="B22" s="9" t="s">
        <v>73</v>
      </c>
      <c r="C22" s="10">
        <v>30</v>
      </c>
      <c r="D22" s="11">
        <v>79</v>
      </c>
      <c r="E22" s="10">
        <v>3</v>
      </c>
      <c r="F22" s="11"/>
      <c r="G22" s="11"/>
      <c r="H22" s="11">
        <f>E22*D22*C22</f>
        <v>7110</v>
      </c>
      <c r="I22" s="11">
        <v>0</v>
      </c>
      <c r="J22" s="12">
        <f t="shared" ref="J22" si="1">I22+H22+G22+F22</f>
        <v>7110</v>
      </c>
    </row>
    <row r="23" spans="1:12" s="41" customFormat="1" ht="14.45" customHeight="1">
      <c r="A23" s="428"/>
      <c r="B23" s="70" t="s">
        <v>155</v>
      </c>
      <c r="C23" s="72">
        <v>190</v>
      </c>
      <c r="D23" s="74">
        <v>10429.41</v>
      </c>
      <c r="E23" s="72">
        <v>3</v>
      </c>
      <c r="F23" s="74">
        <f>SUM(C23*D23*E23)</f>
        <v>5944763.6999999993</v>
      </c>
      <c r="G23" s="74">
        <f>312.88*C23*E23</f>
        <v>178341.59999999998</v>
      </c>
      <c r="H23" s="74">
        <f>310*C23*E23</f>
        <v>176700</v>
      </c>
      <c r="I23" s="74">
        <f>(F23+G23+H23)*16%</f>
        <v>1007968.8479999999</v>
      </c>
      <c r="J23" s="81">
        <f t="shared" si="0"/>
        <v>7307774.1479999991</v>
      </c>
    </row>
    <row r="24" spans="1:12" s="41" customFormat="1" ht="15">
      <c r="A24" s="428"/>
      <c r="B24" s="42" t="s">
        <v>73</v>
      </c>
      <c r="C24" s="43">
        <v>190</v>
      </c>
      <c r="D24" s="44">
        <v>79</v>
      </c>
      <c r="E24" s="43">
        <v>3</v>
      </c>
      <c r="F24" s="44"/>
      <c r="G24" s="44"/>
      <c r="H24" s="44">
        <f>E24*D24*C24</f>
        <v>45030</v>
      </c>
      <c r="I24" s="44">
        <v>0</v>
      </c>
      <c r="J24" s="45">
        <f t="shared" si="0"/>
        <v>45030</v>
      </c>
    </row>
    <row r="25" spans="1:12" s="41" customFormat="1" ht="27.6" customHeight="1">
      <c r="A25" s="429"/>
      <c r="B25" s="99" t="s">
        <v>76</v>
      </c>
      <c r="C25" s="100">
        <v>-5</v>
      </c>
      <c r="D25" s="101">
        <v>-10021.85</v>
      </c>
      <c r="E25" s="100">
        <v>-3</v>
      </c>
      <c r="F25" s="101">
        <f>SUM(C25*D25*E25)</f>
        <v>-150327.75</v>
      </c>
      <c r="G25" s="101">
        <f>-300.66*C25*E25</f>
        <v>-4509.9000000000005</v>
      </c>
      <c r="H25" s="265">
        <f>500*5*3</f>
        <v>7500</v>
      </c>
      <c r="I25" s="248">
        <f>(F25+G25+H25)*16%</f>
        <v>-23574.024000000001</v>
      </c>
      <c r="J25" s="102">
        <f t="shared" si="0"/>
        <v>-170911.674</v>
      </c>
    </row>
    <row r="26" spans="1:12" s="41" customFormat="1" ht="27.6" customHeight="1">
      <c r="A26" s="418"/>
      <c r="B26" s="172" t="s">
        <v>77</v>
      </c>
      <c r="C26" s="173">
        <v>1</v>
      </c>
      <c r="D26" s="174">
        <v>50000</v>
      </c>
      <c r="E26" s="173">
        <v>1</v>
      </c>
      <c r="F26" s="209">
        <f>SUM(C26*D26*E26)</f>
        <v>50000</v>
      </c>
      <c r="G26" s="209">
        <f>300.66*C26*E26</f>
        <v>300.66000000000003</v>
      </c>
      <c r="H26" s="209">
        <f>155*C26*E26</f>
        <v>155</v>
      </c>
      <c r="I26" s="174">
        <f>(F26+G26+H26)*16%</f>
        <v>8072.905600000001</v>
      </c>
      <c r="J26" s="225">
        <f>I26+H26+G26+F26</f>
        <v>58528.565600000002</v>
      </c>
    </row>
    <row r="27" spans="1:12" ht="15">
      <c r="A27" s="18"/>
      <c r="B27" s="19" t="s">
        <v>78</v>
      </c>
      <c r="C27" s="20"/>
      <c r="D27" s="21"/>
      <c r="E27" s="20"/>
      <c r="F27" s="22">
        <f>SUM(F19:F26)</f>
        <v>6796511.6999999993</v>
      </c>
      <c r="G27" s="22">
        <f>SUM(G19:G26)</f>
        <v>202695.06</v>
      </c>
      <c r="H27" s="22">
        <f>SUM(H19:H26)</f>
        <v>251615</v>
      </c>
      <c r="I27" s="22">
        <f>SUM(I19:I26)</f>
        <v>1151725.8816</v>
      </c>
      <c r="J27" s="22">
        <f>SUM(J19:J26)</f>
        <v>8402547.6415999997</v>
      </c>
    </row>
    <row r="28" spans="1:12" ht="15" thickBot="1">
      <c r="A28" s="23"/>
      <c r="B28" s="28" t="s">
        <v>79</v>
      </c>
      <c r="C28" s="82"/>
      <c r="D28" s="83"/>
      <c r="E28" s="82"/>
      <c r="F28" s="83">
        <f>F27</f>
        <v>6796511.6999999993</v>
      </c>
      <c r="G28" s="83">
        <f t="shared" ref="G28:J28" si="2">G27</f>
        <v>202695.06</v>
      </c>
      <c r="H28" s="83">
        <f t="shared" si="2"/>
        <v>251615</v>
      </c>
      <c r="I28" s="83">
        <f t="shared" si="2"/>
        <v>1151725.8816</v>
      </c>
      <c r="J28" s="83">
        <f t="shared" si="2"/>
        <v>8402547.6415999997</v>
      </c>
    </row>
    <row r="29" spans="1:12">
      <c r="A29" s="18"/>
      <c r="B29" s="29"/>
      <c r="C29" s="20"/>
      <c r="D29" s="30"/>
      <c r="E29" s="20"/>
      <c r="F29" s="30"/>
      <c r="G29" s="30"/>
      <c r="H29" s="30"/>
      <c r="I29" s="30"/>
      <c r="J29" s="30"/>
    </row>
    <row r="30" spans="1:12" ht="15" thickBot="1">
      <c r="A30" s="18"/>
      <c r="B30" s="29"/>
      <c r="C30" s="20"/>
      <c r="D30" s="30"/>
      <c r="E30" s="20"/>
      <c r="F30" s="30"/>
      <c r="G30" s="30"/>
      <c r="H30" s="30"/>
      <c r="I30" s="30"/>
      <c r="J30" s="30"/>
    </row>
    <row r="31" spans="1:12" ht="15" thickBot="1">
      <c r="A31" s="431" t="s">
        <v>80</v>
      </c>
      <c r="B31" s="432"/>
      <c r="C31" s="7"/>
      <c r="D31" s="7"/>
      <c r="E31" s="7"/>
      <c r="F31" s="7"/>
      <c r="G31" s="7"/>
      <c r="H31" s="7"/>
      <c r="I31" s="7"/>
      <c r="J31" s="7"/>
    </row>
    <row r="32" spans="1:12" ht="15" thickBot="1">
      <c r="A32" s="78" t="s">
        <v>62</v>
      </c>
      <c r="B32" s="79" t="s">
        <v>13</v>
      </c>
      <c r="C32" s="80" t="s">
        <v>63</v>
      </c>
      <c r="D32" s="80" t="s">
        <v>64</v>
      </c>
      <c r="E32" s="80" t="s">
        <v>65</v>
      </c>
      <c r="F32" s="80" t="s">
        <v>66</v>
      </c>
      <c r="G32" s="80" t="s">
        <v>27</v>
      </c>
      <c r="H32" s="80" t="s">
        <v>68</v>
      </c>
      <c r="I32" s="80" t="s">
        <v>69</v>
      </c>
      <c r="J32" s="8" t="s">
        <v>70</v>
      </c>
    </row>
    <row r="33" spans="1:10" s="41" customFormat="1" ht="36.75">
      <c r="A33" s="434" t="s">
        <v>71</v>
      </c>
      <c r="B33" s="128" t="s">
        <v>81</v>
      </c>
      <c r="C33" s="72">
        <v>5</v>
      </c>
      <c r="D33" s="71">
        <v>0</v>
      </c>
      <c r="E33" s="72">
        <v>1</v>
      </c>
      <c r="F33" s="74">
        <f t="shared" ref="F33:F40" si="3">SUM(C33*D33*E33)</f>
        <v>0</v>
      </c>
      <c r="G33" s="71"/>
      <c r="H33" s="71">
        <f t="shared" ref="H33:H40" si="4">F33*15%</f>
        <v>0</v>
      </c>
      <c r="I33" s="71">
        <f t="shared" ref="I33:I40" si="5">(F33*16%)+(H33*16%)</f>
        <v>0</v>
      </c>
      <c r="J33" s="73">
        <f t="shared" ref="J33:J40" si="6">I33+H33+G33+F33</f>
        <v>0</v>
      </c>
    </row>
    <row r="34" spans="1:10" s="41" customFormat="1" ht="15" thickBot="1">
      <c r="A34" s="436"/>
      <c r="B34" s="126" t="s">
        <v>82</v>
      </c>
      <c r="C34" s="57">
        <v>5</v>
      </c>
      <c r="D34" s="58">
        <v>0</v>
      </c>
      <c r="E34" s="57">
        <v>1</v>
      </c>
      <c r="F34" s="59">
        <f t="shared" si="3"/>
        <v>0</v>
      </c>
      <c r="G34" s="58"/>
      <c r="H34" s="58">
        <f t="shared" si="4"/>
        <v>0</v>
      </c>
      <c r="I34" s="58">
        <f t="shared" si="5"/>
        <v>0</v>
      </c>
      <c r="J34" s="60">
        <f t="shared" si="6"/>
        <v>0</v>
      </c>
    </row>
    <row r="35" spans="1:10" s="41" customFormat="1" ht="36.75">
      <c r="A35" s="435" t="s">
        <v>83</v>
      </c>
      <c r="B35" s="129" t="s">
        <v>84</v>
      </c>
      <c r="C35" s="10">
        <v>5</v>
      </c>
      <c r="D35" s="31">
        <v>0</v>
      </c>
      <c r="E35" s="10">
        <v>1</v>
      </c>
      <c r="F35" s="48">
        <f t="shared" si="3"/>
        <v>0</v>
      </c>
      <c r="G35" s="31"/>
      <c r="H35" s="31">
        <f t="shared" si="4"/>
        <v>0</v>
      </c>
      <c r="I35" s="31">
        <f t="shared" si="5"/>
        <v>0</v>
      </c>
      <c r="J35" s="32">
        <f t="shared" si="6"/>
        <v>0</v>
      </c>
    </row>
    <row r="36" spans="1:10" s="41" customFormat="1" ht="24.75">
      <c r="A36" s="437"/>
      <c r="B36" s="129" t="s">
        <v>85</v>
      </c>
      <c r="C36" s="10">
        <v>410</v>
      </c>
      <c r="D36" s="31">
        <v>0</v>
      </c>
      <c r="E36" s="10">
        <v>1</v>
      </c>
      <c r="F36" s="48">
        <f t="shared" si="3"/>
        <v>0</v>
      </c>
      <c r="G36" s="31"/>
      <c r="H36" s="31">
        <f t="shared" si="4"/>
        <v>0</v>
      </c>
      <c r="I36" s="31">
        <f t="shared" si="5"/>
        <v>0</v>
      </c>
      <c r="J36" s="32">
        <f t="shared" si="6"/>
        <v>0</v>
      </c>
    </row>
    <row r="37" spans="1:10" s="41" customFormat="1" ht="63.75" customHeight="1">
      <c r="A37" s="437"/>
      <c r="B37" s="129" t="s">
        <v>218</v>
      </c>
      <c r="C37" s="10">
        <v>410</v>
      </c>
      <c r="D37" s="31">
        <v>0</v>
      </c>
      <c r="E37" s="10">
        <v>1</v>
      </c>
      <c r="F37" s="48">
        <f t="shared" si="3"/>
        <v>0</v>
      </c>
      <c r="G37" s="31"/>
      <c r="H37" s="31">
        <f>F37*15%</f>
        <v>0</v>
      </c>
      <c r="I37" s="31">
        <f>(F37*16%)+(H37*16%)</f>
        <v>0</v>
      </c>
      <c r="J37" s="32">
        <f t="shared" si="6"/>
        <v>0</v>
      </c>
    </row>
    <row r="38" spans="1:10" s="41" customFormat="1" ht="49.5">
      <c r="A38" s="437"/>
      <c r="B38" s="130" t="s">
        <v>219</v>
      </c>
      <c r="C38" s="43">
        <v>410</v>
      </c>
      <c r="D38" s="63">
        <v>280</v>
      </c>
      <c r="E38" s="43">
        <v>0</v>
      </c>
      <c r="F38" s="54">
        <f t="shared" si="3"/>
        <v>0</v>
      </c>
      <c r="G38" s="63"/>
      <c r="H38" s="63">
        <f>F38*15%</f>
        <v>0</v>
      </c>
      <c r="I38" s="63">
        <f>(F38*16%)+(H38*16%)</f>
        <v>0</v>
      </c>
      <c r="J38" s="64">
        <f t="shared" si="6"/>
        <v>0</v>
      </c>
    </row>
    <row r="39" spans="1:10" s="41" customFormat="1" ht="53.45">
      <c r="A39" s="437"/>
      <c r="B39" s="42" t="s">
        <v>220</v>
      </c>
      <c r="C39" s="43">
        <v>410</v>
      </c>
      <c r="D39" s="63">
        <v>0</v>
      </c>
      <c r="E39" s="43">
        <v>1</v>
      </c>
      <c r="F39" s="44">
        <f t="shared" si="3"/>
        <v>0</v>
      </c>
      <c r="G39" s="63"/>
      <c r="H39" s="63">
        <f t="shared" ref="H39" si="7">F39*15%</f>
        <v>0</v>
      </c>
      <c r="I39" s="63">
        <f t="shared" ref="I39" si="8">(F39*16%)+(H39*16%)</f>
        <v>0</v>
      </c>
      <c r="J39" s="64">
        <f t="shared" si="6"/>
        <v>0</v>
      </c>
    </row>
    <row r="40" spans="1:10" s="41" customFormat="1" ht="146.44999999999999" thickBot="1">
      <c r="A40" s="437"/>
      <c r="B40" s="42" t="s">
        <v>221</v>
      </c>
      <c r="C40" s="43">
        <v>410</v>
      </c>
      <c r="D40" s="63">
        <v>0</v>
      </c>
      <c r="E40" s="43">
        <v>1</v>
      </c>
      <c r="F40" s="44">
        <f t="shared" si="3"/>
        <v>0</v>
      </c>
      <c r="G40" s="63"/>
      <c r="H40" s="63">
        <f t="shared" si="4"/>
        <v>0</v>
      </c>
      <c r="I40" s="63">
        <f t="shared" si="5"/>
        <v>0</v>
      </c>
      <c r="J40" s="64">
        <f t="shared" si="6"/>
        <v>0</v>
      </c>
    </row>
    <row r="41" spans="1:10" s="41" customFormat="1">
      <c r="A41" s="434" t="s">
        <v>92</v>
      </c>
      <c r="B41" s="70" t="s">
        <v>222</v>
      </c>
      <c r="C41" s="72">
        <v>410</v>
      </c>
      <c r="D41" s="71">
        <v>0</v>
      </c>
      <c r="E41" s="72">
        <v>1</v>
      </c>
      <c r="F41" s="74">
        <f>SUM(C41*D41*E41)</f>
        <v>0</v>
      </c>
      <c r="G41" s="71"/>
      <c r="H41" s="71">
        <f>F41*15%</f>
        <v>0</v>
      </c>
      <c r="I41" s="71">
        <f>(F41*16%)+(H41*16%)</f>
        <v>0</v>
      </c>
      <c r="J41" s="73">
        <f>I41+H41+G41+F41</f>
        <v>0</v>
      </c>
    </row>
    <row r="42" spans="1:10" s="41" customFormat="1" ht="64.5" customHeight="1">
      <c r="A42" s="437"/>
      <c r="B42" s="129" t="s">
        <v>223</v>
      </c>
      <c r="C42" s="10">
        <v>410</v>
      </c>
      <c r="D42" s="31">
        <v>0</v>
      </c>
      <c r="E42" s="10">
        <v>1</v>
      </c>
      <c r="F42" s="48">
        <f t="shared" ref="F42:F46" si="9">SUM(C42*D42*E42)</f>
        <v>0</v>
      </c>
      <c r="G42" s="31"/>
      <c r="H42" s="31">
        <f>F42*15%</f>
        <v>0</v>
      </c>
      <c r="I42" s="31">
        <f>(F42*16%)+(H42*16%)</f>
        <v>0</v>
      </c>
      <c r="J42" s="32">
        <f t="shared" ref="J42:J46" si="10">I42+H42+G42+F42</f>
        <v>0</v>
      </c>
    </row>
    <row r="43" spans="1:10" s="41" customFormat="1" ht="49.5">
      <c r="A43" s="437"/>
      <c r="B43" s="130" t="s">
        <v>224</v>
      </c>
      <c r="C43" s="43">
        <v>410</v>
      </c>
      <c r="D43" s="63">
        <v>280</v>
      </c>
      <c r="E43" s="43">
        <v>0</v>
      </c>
      <c r="F43" s="48"/>
      <c r="G43" s="31"/>
      <c r="H43" s="31"/>
      <c r="I43" s="31"/>
      <c r="J43" s="32"/>
    </row>
    <row r="44" spans="1:10" s="41" customFormat="1" ht="24.75">
      <c r="A44" s="437"/>
      <c r="B44" s="129" t="s">
        <v>95</v>
      </c>
      <c r="C44" s="10">
        <v>410</v>
      </c>
      <c r="D44" s="31">
        <v>0</v>
      </c>
      <c r="E44" s="10">
        <v>1</v>
      </c>
      <c r="F44" s="48">
        <f t="shared" ref="F44" si="11">SUM(C44*D44*E44)</f>
        <v>0</v>
      </c>
      <c r="G44" s="31"/>
      <c r="H44" s="31">
        <f t="shared" ref="H44" si="12">F44*15%</f>
        <v>0</v>
      </c>
      <c r="I44" s="31">
        <f t="shared" ref="I44" si="13">(F44*16%)+(H44*16%)</f>
        <v>0</v>
      </c>
      <c r="J44" s="32">
        <f t="shared" ref="J44" si="14">I44+H44+G44+F44</f>
        <v>0</v>
      </c>
    </row>
    <row r="45" spans="1:10" s="41" customFormat="1" ht="49.5">
      <c r="A45" s="437"/>
      <c r="B45" s="130" t="s">
        <v>225</v>
      </c>
      <c r="C45" s="43">
        <v>410</v>
      </c>
      <c r="D45" s="63">
        <v>280</v>
      </c>
      <c r="E45" s="43">
        <v>0</v>
      </c>
      <c r="F45" s="48"/>
      <c r="G45" s="31"/>
      <c r="H45" s="31"/>
      <c r="I45" s="31"/>
      <c r="J45" s="32"/>
    </row>
    <row r="46" spans="1:10" s="41" customFormat="1" ht="49.9" customHeight="1" thickBot="1">
      <c r="A46" s="437"/>
      <c r="B46" s="131" t="s">
        <v>97</v>
      </c>
      <c r="C46" s="43">
        <v>410</v>
      </c>
      <c r="D46" s="63">
        <v>0</v>
      </c>
      <c r="E46" s="43">
        <v>1</v>
      </c>
      <c r="F46" s="11">
        <f t="shared" si="9"/>
        <v>0</v>
      </c>
      <c r="G46" s="31"/>
      <c r="H46" s="31">
        <f t="shared" ref="H46" si="15">F46*15%</f>
        <v>0</v>
      </c>
      <c r="I46" s="31">
        <f t="shared" ref="I46" si="16">(F46*16%)+(H46*16%)</f>
        <v>0</v>
      </c>
      <c r="J46" s="32">
        <f t="shared" si="10"/>
        <v>0</v>
      </c>
    </row>
    <row r="47" spans="1:10" s="41" customFormat="1" ht="15">
      <c r="A47" s="434" t="s">
        <v>98</v>
      </c>
      <c r="B47" s="128" t="s">
        <v>93</v>
      </c>
      <c r="C47" s="72">
        <v>410</v>
      </c>
      <c r="D47" s="71">
        <v>0</v>
      </c>
      <c r="E47" s="72"/>
      <c r="F47" s="74">
        <f>SUM(C47*D47*E47)</f>
        <v>0</v>
      </c>
      <c r="G47" s="71"/>
      <c r="H47" s="71">
        <f>F47*15%</f>
        <v>0</v>
      </c>
      <c r="I47" s="71">
        <f>(F47*16%)+(H47*16%)</f>
        <v>0</v>
      </c>
      <c r="J47" s="73">
        <f>I47+H47+G47+F47</f>
        <v>0</v>
      </c>
    </row>
    <row r="48" spans="1:10" s="41" customFormat="1" ht="61.5">
      <c r="A48" s="435"/>
      <c r="B48" s="129" t="s">
        <v>226</v>
      </c>
      <c r="C48" s="10">
        <v>410</v>
      </c>
      <c r="D48" s="31">
        <v>0</v>
      </c>
      <c r="E48" s="10">
        <v>1</v>
      </c>
      <c r="F48" s="11">
        <f t="shared" ref="F48:F51" si="17">SUM(C48*D48*E48)</f>
        <v>0</v>
      </c>
      <c r="G48" s="31"/>
      <c r="H48" s="31">
        <f t="shared" ref="H48:H51" si="18">F48*15%</f>
        <v>0</v>
      </c>
      <c r="I48" s="31">
        <f t="shared" ref="I48:I51" si="19">(F48*16%)+(H48*16%)</f>
        <v>0</v>
      </c>
      <c r="J48" s="32">
        <f t="shared" ref="J48:J51" si="20">I48+H48+G48+F48</f>
        <v>0</v>
      </c>
    </row>
    <row r="49" spans="1:10" s="41" customFormat="1" ht="49.5">
      <c r="A49" s="435"/>
      <c r="B49" s="130" t="s">
        <v>227</v>
      </c>
      <c r="C49" s="43">
        <v>410</v>
      </c>
      <c r="D49" s="63">
        <v>280</v>
      </c>
      <c r="E49" s="43">
        <v>0</v>
      </c>
      <c r="F49" s="11">
        <f t="shared" si="17"/>
        <v>0</v>
      </c>
      <c r="G49" s="31"/>
      <c r="H49" s="31">
        <f t="shared" si="18"/>
        <v>0</v>
      </c>
      <c r="I49" s="31">
        <f t="shared" si="19"/>
        <v>0</v>
      </c>
      <c r="J49" s="32">
        <f t="shared" si="20"/>
        <v>0</v>
      </c>
    </row>
    <row r="50" spans="1:10" s="41" customFormat="1" ht="24.75">
      <c r="A50" s="435"/>
      <c r="B50" s="129" t="s">
        <v>85</v>
      </c>
      <c r="C50" s="10">
        <v>410</v>
      </c>
      <c r="D50" s="31">
        <v>0</v>
      </c>
      <c r="E50" s="10">
        <v>1</v>
      </c>
      <c r="F50" s="11">
        <f t="shared" si="17"/>
        <v>0</v>
      </c>
      <c r="G50" s="31"/>
      <c r="H50" s="31">
        <f t="shared" si="18"/>
        <v>0</v>
      </c>
      <c r="I50" s="31">
        <f t="shared" si="19"/>
        <v>0</v>
      </c>
      <c r="J50" s="32">
        <f t="shared" si="20"/>
        <v>0</v>
      </c>
    </row>
    <row r="51" spans="1:10" s="41" customFormat="1" ht="141.75" customHeight="1">
      <c r="A51" s="435"/>
      <c r="B51" s="129" t="s">
        <v>228</v>
      </c>
      <c r="C51" s="10">
        <v>410</v>
      </c>
      <c r="D51" s="31">
        <v>0</v>
      </c>
      <c r="E51" s="10">
        <v>1</v>
      </c>
      <c r="F51" s="11">
        <f t="shared" si="17"/>
        <v>0</v>
      </c>
      <c r="G51" s="31"/>
      <c r="H51" s="31">
        <f t="shared" si="18"/>
        <v>0</v>
      </c>
      <c r="I51" s="31">
        <f t="shared" si="19"/>
        <v>0</v>
      </c>
      <c r="J51" s="32">
        <f t="shared" si="20"/>
        <v>0</v>
      </c>
    </row>
    <row r="52" spans="1:10" s="41" customFormat="1" ht="24" customHeight="1" thickBot="1">
      <c r="A52" s="75" t="s">
        <v>101</v>
      </c>
      <c r="B52" s="127" t="s">
        <v>93</v>
      </c>
      <c r="C52" s="57">
        <v>410</v>
      </c>
      <c r="D52" s="58">
        <v>0</v>
      </c>
      <c r="E52" s="57">
        <v>1</v>
      </c>
      <c r="F52" s="59">
        <f>SUM(C52*D52*E52)</f>
        <v>0</v>
      </c>
      <c r="G52" s="58"/>
      <c r="H52" s="58">
        <f>F52*15%</f>
        <v>0</v>
      </c>
      <c r="I52" s="58">
        <f>(F52*16%)+(H52*16%)</f>
        <v>0</v>
      </c>
      <c r="J52" s="60">
        <f>I52+H52+G52+F52</f>
        <v>0</v>
      </c>
    </row>
    <row r="53" spans="1:10" ht="15" thickBot="1">
      <c r="A53" s="18"/>
      <c r="B53" s="19" t="s">
        <v>78</v>
      </c>
      <c r="C53" s="20"/>
      <c r="D53" s="21"/>
      <c r="E53" s="20"/>
      <c r="F53" s="22">
        <f>SUM(F33:F52)</f>
        <v>0</v>
      </c>
      <c r="G53" s="22">
        <f>SUM(G33:G52)</f>
        <v>0</v>
      </c>
      <c r="H53" s="22">
        <f>SUM(H33:H52)</f>
        <v>0</v>
      </c>
      <c r="I53" s="22">
        <f>SUM(I33:I52)</f>
        <v>0</v>
      </c>
      <c r="J53" s="22">
        <f>SUM(J33:J52)</f>
        <v>0</v>
      </c>
    </row>
    <row r="54" spans="1:10" ht="15" thickBot="1">
      <c r="A54" s="23"/>
      <c r="B54" s="28" t="s">
        <v>102</v>
      </c>
      <c r="C54" s="82"/>
      <c r="D54" s="83"/>
      <c r="E54" s="82"/>
      <c r="F54" s="83">
        <f>F53</f>
        <v>0</v>
      </c>
      <c r="G54" s="83">
        <f t="shared" ref="G54:J54" si="21">G53</f>
        <v>0</v>
      </c>
      <c r="H54" s="83">
        <f t="shared" si="21"/>
        <v>0</v>
      </c>
      <c r="I54" s="83">
        <f t="shared" si="21"/>
        <v>0</v>
      </c>
      <c r="J54" s="83">
        <f t="shared" si="21"/>
        <v>0</v>
      </c>
    </row>
    <row r="55" spans="1:10">
      <c r="A55" s="18"/>
      <c r="B55" s="29"/>
      <c r="C55" s="20"/>
      <c r="D55" s="21"/>
      <c r="E55" s="20"/>
      <c r="F55" s="30"/>
      <c r="G55" s="30"/>
      <c r="H55" s="30"/>
      <c r="I55" s="30"/>
      <c r="J55" s="30"/>
    </row>
    <row r="56" spans="1:10" ht="15" thickBot="1">
      <c r="A56" s="18"/>
      <c r="B56" s="29"/>
      <c r="C56" s="20"/>
      <c r="D56" s="21"/>
      <c r="E56" s="20"/>
      <c r="F56" s="30"/>
      <c r="G56" s="30"/>
      <c r="H56" s="30"/>
      <c r="I56" s="30"/>
      <c r="J56" s="30"/>
    </row>
    <row r="57" spans="1:10" ht="15" thickBot="1">
      <c r="A57" s="431" t="s">
        <v>103</v>
      </c>
      <c r="B57" s="432"/>
      <c r="C57" s="7"/>
      <c r="D57" s="7"/>
      <c r="E57" s="7"/>
      <c r="F57" s="7"/>
      <c r="G57" s="7"/>
      <c r="H57" s="7"/>
      <c r="I57" s="7"/>
      <c r="J57" s="7"/>
    </row>
    <row r="58" spans="1:10" ht="15" thickBot="1">
      <c r="A58" s="84" t="s">
        <v>62</v>
      </c>
      <c r="B58" s="79" t="s">
        <v>13</v>
      </c>
      <c r="C58" s="80" t="s">
        <v>63</v>
      </c>
      <c r="D58" s="80" t="s">
        <v>64</v>
      </c>
      <c r="E58" s="80" t="s">
        <v>65</v>
      </c>
      <c r="F58" s="80" t="s">
        <v>66</v>
      </c>
      <c r="G58" s="80" t="s">
        <v>27</v>
      </c>
      <c r="H58" s="80" t="s">
        <v>68</v>
      </c>
      <c r="I58" s="80" t="s">
        <v>69</v>
      </c>
      <c r="J58" s="8" t="s">
        <v>70</v>
      </c>
    </row>
    <row r="59" spans="1:10" ht="15">
      <c r="A59" s="427"/>
      <c r="B59" s="70" t="s">
        <v>104</v>
      </c>
      <c r="C59" s="72">
        <v>12</v>
      </c>
      <c r="D59" s="71">
        <v>2096</v>
      </c>
      <c r="E59" s="72">
        <v>1</v>
      </c>
      <c r="F59" s="71">
        <v>25152</v>
      </c>
      <c r="G59" s="71"/>
      <c r="H59" s="71">
        <v>1509.12</v>
      </c>
      <c r="I59" s="71">
        <v>4024.32</v>
      </c>
      <c r="J59" s="73">
        <v>30685.440000000002</v>
      </c>
    </row>
    <row r="60" spans="1:10" ht="15">
      <c r="A60" s="428"/>
      <c r="B60" s="9" t="s">
        <v>105</v>
      </c>
      <c r="C60" s="10">
        <v>15</v>
      </c>
      <c r="D60" s="31">
        <v>3137</v>
      </c>
      <c r="E60" s="10">
        <v>1</v>
      </c>
      <c r="F60" s="31">
        <v>47055</v>
      </c>
      <c r="G60" s="31"/>
      <c r="H60" s="31">
        <v>2823.2999999999997</v>
      </c>
      <c r="I60" s="31">
        <v>7528.8</v>
      </c>
      <c r="J60" s="32">
        <v>57407.1</v>
      </c>
    </row>
    <row r="61" spans="1:10" ht="15">
      <c r="A61" s="428"/>
      <c r="B61" s="9" t="s">
        <v>106</v>
      </c>
      <c r="C61" s="10">
        <v>1</v>
      </c>
      <c r="D61" s="31">
        <v>17205</v>
      </c>
      <c r="E61" s="10">
        <v>1</v>
      </c>
      <c r="F61" s="31">
        <v>17205</v>
      </c>
      <c r="G61" s="31"/>
      <c r="H61" s="31">
        <v>1032.3</v>
      </c>
      <c r="I61" s="31">
        <v>2752.8</v>
      </c>
      <c r="J61" s="32">
        <v>20990.1</v>
      </c>
    </row>
    <row r="62" spans="1:10" ht="15">
      <c r="A62" s="428"/>
      <c r="B62" s="9" t="s">
        <v>107</v>
      </c>
      <c r="C62" s="10">
        <v>1</v>
      </c>
      <c r="D62" s="31">
        <v>18901</v>
      </c>
      <c r="E62" s="10">
        <v>1</v>
      </c>
      <c r="F62" s="31">
        <v>18901</v>
      </c>
      <c r="G62" s="31"/>
      <c r="H62" s="31">
        <v>1134.06</v>
      </c>
      <c r="I62" s="31">
        <v>3024.16</v>
      </c>
      <c r="J62" s="32">
        <v>23059.22</v>
      </c>
    </row>
    <row r="63" spans="1:10" ht="15">
      <c r="A63" s="428"/>
      <c r="B63" s="42" t="s">
        <v>108</v>
      </c>
      <c r="C63" s="10">
        <v>1</v>
      </c>
      <c r="D63" s="63">
        <v>21011</v>
      </c>
      <c r="E63" s="10">
        <v>1</v>
      </c>
      <c r="F63" s="31">
        <v>21011</v>
      </c>
      <c r="G63" s="31"/>
      <c r="H63" s="31">
        <v>1260.6599999999999</v>
      </c>
      <c r="I63" s="31">
        <v>3361.76</v>
      </c>
      <c r="J63" s="32">
        <v>25633.42</v>
      </c>
    </row>
    <row r="64" spans="1:10" ht="15">
      <c r="A64" s="428"/>
      <c r="B64" s="42" t="s">
        <v>109</v>
      </c>
      <c r="C64" s="10">
        <v>9</v>
      </c>
      <c r="D64" s="63">
        <v>2096</v>
      </c>
      <c r="E64" s="10">
        <v>1</v>
      </c>
      <c r="F64" s="31">
        <v>18864</v>
      </c>
      <c r="G64" s="31"/>
      <c r="H64" s="31">
        <v>1131.8399999999999</v>
      </c>
      <c r="I64" s="31">
        <v>3018.2400000000002</v>
      </c>
      <c r="J64" s="32">
        <v>23014.080000000002</v>
      </c>
    </row>
    <row r="65" spans="1:14" ht="15" thickBot="1">
      <c r="A65" s="429"/>
      <c r="B65" s="14" t="s">
        <v>110</v>
      </c>
      <c r="C65" s="15">
        <v>17</v>
      </c>
      <c r="D65" s="33">
        <v>3137</v>
      </c>
      <c r="E65" s="15">
        <v>1</v>
      </c>
      <c r="F65" s="33">
        <v>53329</v>
      </c>
      <c r="G65" s="33"/>
      <c r="H65" s="33">
        <v>3199.74</v>
      </c>
      <c r="I65" s="33">
        <v>8532.64</v>
      </c>
      <c r="J65" s="34">
        <v>65061.38</v>
      </c>
    </row>
    <row r="66" spans="1:14" ht="15">
      <c r="A66" s="427"/>
      <c r="B66" s="77" t="s">
        <v>111</v>
      </c>
      <c r="C66" s="72">
        <v>1</v>
      </c>
      <c r="D66" s="71">
        <v>18901</v>
      </c>
      <c r="E66" s="72">
        <v>1</v>
      </c>
      <c r="F66" s="71">
        <v>18901</v>
      </c>
      <c r="G66" s="71"/>
      <c r="H66" s="71">
        <v>1134.06</v>
      </c>
      <c r="I66" s="71">
        <v>3024.16</v>
      </c>
      <c r="J66" s="73">
        <v>23059.22</v>
      </c>
    </row>
    <row r="67" spans="1:14" ht="15" thickBot="1">
      <c r="A67" s="429"/>
      <c r="B67" s="76" t="s">
        <v>112</v>
      </c>
      <c r="C67" s="57">
        <v>2</v>
      </c>
      <c r="D67" s="58">
        <v>21011</v>
      </c>
      <c r="E67" s="57">
        <v>1</v>
      </c>
      <c r="F67" s="58">
        <v>42022</v>
      </c>
      <c r="G67" s="58"/>
      <c r="H67" s="58">
        <v>2521.3199999999997</v>
      </c>
      <c r="I67" s="58">
        <v>6723.52</v>
      </c>
      <c r="J67" s="60">
        <v>51266.84</v>
      </c>
    </row>
    <row r="68" spans="1:14" ht="15" thickBot="1">
      <c r="A68" s="18"/>
      <c r="B68" s="19" t="s">
        <v>78</v>
      </c>
      <c r="C68" s="20"/>
      <c r="D68" s="21"/>
      <c r="E68" s="20"/>
      <c r="F68" s="27">
        <f>SUM(F59:F67)</f>
        <v>262440</v>
      </c>
      <c r="G68" s="27">
        <f t="shared" ref="G68:J68" si="22">SUM(G59:G67)</f>
        <v>0</v>
      </c>
      <c r="H68" s="27">
        <f t="shared" si="22"/>
        <v>15746.4</v>
      </c>
      <c r="I68" s="27">
        <f t="shared" si="22"/>
        <v>41990.400000000009</v>
      </c>
      <c r="J68" s="27">
        <f t="shared" si="22"/>
        <v>320176.80000000005</v>
      </c>
    </row>
    <row r="69" spans="1:14" ht="15" thickBot="1">
      <c r="A69" s="23"/>
      <c r="B69" s="28" t="s">
        <v>113</v>
      </c>
      <c r="C69" s="82"/>
      <c r="D69" s="83"/>
      <c r="E69" s="82"/>
      <c r="F69" s="83">
        <f>F68</f>
        <v>262440</v>
      </c>
      <c r="G69" s="83">
        <f t="shared" ref="G69:J69" si="23">G68</f>
        <v>0</v>
      </c>
      <c r="H69" s="83">
        <f t="shared" si="23"/>
        <v>15746.4</v>
      </c>
      <c r="I69" s="83">
        <f t="shared" si="23"/>
        <v>41990.400000000009</v>
      </c>
      <c r="J69" s="37">
        <f t="shared" si="23"/>
        <v>320176.80000000005</v>
      </c>
    </row>
    <row r="70" spans="1:14" ht="15" thickBot="1">
      <c r="A70" s="23"/>
      <c r="B70" s="29"/>
      <c r="C70" s="20"/>
      <c r="D70" s="30"/>
      <c r="E70" s="20"/>
      <c r="F70" s="30"/>
      <c r="G70" s="30"/>
      <c r="H70" s="30"/>
      <c r="I70" s="30"/>
      <c r="J70" s="30"/>
    </row>
    <row r="71" spans="1:14" ht="15" thickBot="1">
      <c r="A71" s="431" t="s">
        <v>114</v>
      </c>
      <c r="B71" s="432"/>
      <c r="C71" s="7"/>
      <c r="D71" s="7"/>
      <c r="E71" s="7"/>
      <c r="F71" s="7"/>
      <c r="G71" s="7"/>
      <c r="H71" s="7"/>
      <c r="I71" s="7"/>
      <c r="J71" s="7"/>
    </row>
    <row r="72" spans="1:14" ht="15" thickBot="1">
      <c r="A72" s="66" t="s">
        <v>62</v>
      </c>
      <c r="B72" s="67" t="s">
        <v>13</v>
      </c>
      <c r="C72" s="68" t="s">
        <v>63</v>
      </c>
      <c r="D72" s="68" t="s">
        <v>64</v>
      </c>
      <c r="E72" s="68" t="s">
        <v>65</v>
      </c>
      <c r="F72" s="68" t="s">
        <v>66</v>
      </c>
      <c r="G72" s="68" t="s">
        <v>27</v>
      </c>
      <c r="H72" s="68" t="s">
        <v>68</v>
      </c>
      <c r="I72" s="68" t="s">
        <v>69</v>
      </c>
      <c r="J72" s="69" t="s">
        <v>70</v>
      </c>
    </row>
    <row r="73" spans="1:14" s="41" customFormat="1" ht="15">
      <c r="A73" s="50"/>
      <c r="B73" s="42"/>
      <c r="C73" s="43"/>
      <c r="D73" s="63"/>
      <c r="E73" s="43"/>
      <c r="F73" s="63"/>
      <c r="G73" s="63"/>
      <c r="H73" s="63"/>
      <c r="I73" s="63"/>
      <c r="J73" s="64"/>
    </row>
    <row r="74" spans="1:14" s="41" customFormat="1">
      <c r="A74" s="50"/>
      <c r="B74" s="42"/>
      <c r="C74" s="43"/>
      <c r="D74" s="63"/>
      <c r="E74" s="43"/>
      <c r="F74" s="63"/>
      <c r="G74" s="63"/>
      <c r="H74" s="63"/>
      <c r="I74" s="63"/>
      <c r="J74" s="64"/>
    </row>
    <row r="75" spans="1:14" s="41" customFormat="1" ht="15" thickBot="1">
      <c r="A75" s="13"/>
      <c r="B75" s="14"/>
      <c r="C75" s="15"/>
      <c r="D75" s="33"/>
      <c r="E75" s="15"/>
      <c r="F75" s="33">
        <f t="shared" ref="F75" si="24">E75+D75+C75</f>
        <v>0</v>
      </c>
      <c r="G75" s="33"/>
      <c r="H75" s="33"/>
      <c r="I75" s="33">
        <f t="shared" ref="I75" si="25">F75*16%</f>
        <v>0</v>
      </c>
      <c r="J75" s="34">
        <f t="shared" ref="J75" si="26">I75+H75+G75+F75</f>
        <v>0</v>
      </c>
    </row>
    <row r="76" spans="1:14" ht="15" thickBot="1">
      <c r="A76" s="18"/>
      <c r="B76" s="19" t="s">
        <v>78</v>
      </c>
      <c r="C76" s="20"/>
      <c r="D76" s="21"/>
      <c r="E76" s="20"/>
      <c r="F76" s="22">
        <f>SUM(F73:F75)</f>
        <v>0</v>
      </c>
      <c r="G76" s="22">
        <f>SUM(G73:G75)</f>
        <v>0</v>
      </c>
      <c r="H76" s="22">
        <f>SUM(H73:H75)</f>
        <v>0</v>
      </c>
      <c r="I76" s="22">
        <f>SUM(I73:I75)</f>
        <v>0</v>
      </c>
      <c r="J76" s="22">
        <f>SUM(J73:J75)</f>
        <v>0</v>
      </c>
    </row>
    <row r="77" spans="1:14" ht="15" thickBot="1">
      <c r="A77" s="23"/>
      <c r="B77" s="28" t="s">
        <v>229</v>
      </c>
      <c r="C77" s="82"/>
      <c r="D77" s="83"/>
      <c r="E77" s="82"/>
      <c r="F77" s="83">
        <f>SUM(F76)</f>
        <v>0</v>
      </c>
      <c r="G77" s="83">
        <f t="shared" ref="G77:J77" si="27">SUM(G76)</f>
        <v>0</v>
      </c>
      <c r="H77" s="83">
        <f t="shared" si="27"/>
        <v>0</v>
      </c>
      <c r="I77" s="83">
        <f t="shared" si="27"/>
        <v>0</v>
      </c>
      <c r="J77" s="83">
        <f t="shared" si="27"/>
        <v>0</v>
      </c>
    </row>
    <row r="78" spans="1:14" ht="15" thickBot="1">
      <c r="A78" s="23"/>
      <c r="B78" s="29"/>
      <c r="C78" s="20"/>
      <c r="D78" s="30"/>
      <c r="E78" s="20"/>
      <c r="F78" s="30"/>
      <c r="G78" s="30"/>
      <c r="H78" s="30"/>
      <c r="I78" s="30"/>
      <c r="J78" s="30"/>
      <c r="N78" t="s">
        <v>116</v>
      </c>
    </row>
    <row r="79" spans="1:14" ht="15" thickBot="1">
      <c r="A79" s="431" t="s">
        <v>117</v>
      </c>
      <c r="B79" s="432"/>
      <c r="C79" s="7"/>
      <c r="D79" s="7"/>
      <c r="E79" s="7"/>
      <c r="F79" s="7"/>
      <c r="G79" s="7"/>
      <c r="H79" s="7"/>
      <c r="I79" s="7"/>
      <c r="J79" s="7"/>
    </row>
    <row r="80" spans="1:14" ht="15" thickBot="1">
      <c r="A80" s="78" t="s">
        <v>62</v>
      </c>
      <c r="B80" s="79" t="s">
        <v>13</v>
      </c>
      <c r="C80" s="80" t="s">
        <v>63</v>
      </c>
      <c r="D80" s="80" t="s">
        <v>64</v>
      </c>
      <c r="E80" s="80" t="s">
        <v>65</v>
      </c>
      <c r="F80" s="80" t="s">
        <v>66</v>
      </c>
      <c r="G80" s="80" t="s">
        <v>27</v>
      </c>
      <c r="H80" s="80" t="s">
        <v>68</v>
      </c>
      <c r="I80" s="80" t="s">
        <v>69</v>
      </c>
      <c r="J80" s="8" t="s">
        <v>70</v>
      </c>
      <c r="N80" t="s">
        <v>116</v>
      </c>
    </row>
    <row r="81" spans="1:10" s="41" customFormat="1" ht="27">
      <c r="A81" s="427" t="s">
        <v>74</v>
      </c>
      <c r="B81" s="70" t="s">
        <v>118</v>
      </c>
      <c r="C81" s="72">
        <v>410</v>
      </c>
      <c r="D81" s="74">
        <v>130</v>
      </c>
      <c r="E81" s="72">
        <v>0</v>
      </c>
      <c r="F81" s="71">
        <f t="shared" ref="F81:F92" si="28">SUM(C81*D81*E81)</f>
        <v>0</v>
      </c>
      <c r="G81" s="71"/>
      <c r="H81" s="71"/>
      <c r="I81" s="71">
        <f>F81*16%</f>
        <v>0</v>
      </c>
      <c r="J81" s="73">
        <f>I81+H81+G81+F81</f>
        <v>0</v>
      </c>
    </row>
    <row r="82" spans="1:10" s="41" customFormat="1" ht="61.5">
      <c r="A82" s="428"/>
      <c r="B82" s="132" t="s">
        <v>230</v>
      </c>
      <c r="C82" s="10">
        <v>1</v>
      </c>
      <c r="D82" s="31">
        <v>30000</v>
      </c>
      <c r="E82" s="10">
        <v>0</v>
      </c>
      <c r="F82" s="31">
        <f>SUM(C82*D82*E82)</f>
        <v>0</v>
      </c>
      <c r="G82" s="31"/>
      <c r="H82" s="31"/>
      <c r="I82" s="31">
        <f>F82*16%</f>
        <v>0</v>
      </c>
      <c r="J82" s="32">
        <f>I82+H82+G82+F82</f>
        <v>0</v>
      </c>
    </row>
    <row r="83" spans="1:10" s="41" customFormat="1" ht="67.150000000000006" thickBot="1">
      <c r="A83" s="429"/>
      <c r="B83" s="42" t="s">
        <v>123</v>
      </c>
      <c r="C83" s="43">
        <v>1</v>
      </c>
      <c r="D83" s="31">
        <v>30000</v>
      </c>
      <c r="E83" s="43">
        <v>0</v>
      </c>
      <c r="F83" s="63">
        <f t="shared" si="28"/>
        <v>0</v>
      </c>
      <c r="G83" s="63"/>
      <c r="H83" s="63"/>
      <c r="I83" s="63">
        <f t="shared" ref="I83:I92" si="29">F83*16%</f>
        <v>0</v>
      </c>
      <c r="J83" s="64">
        <f t="shared" ref="J83:J92" si="30">I83+H83+G83+F83</f>
        <v>0</v>
      </c>
    </row>
    <row r="84" spans="1:10" s="41" customFormat="1" ht="62.45" customHeight="1" thickBot="1">
      <c r="A84" s="93" t="s">
        <v>71</v>
      </c>
      <c r="B84" s="92" t="s">
        <v>231</v>
      </c>
      <c r="C84" s="94">
        <v>1</v>
      </c>
      <c r="D84" s="95">
        <v>0</v>
      </c>
      <c r="E84" s="94">
        <v>1</v>
      </c>
      <c r="F84" s="96">
        <f t="shared" si="28"/>
        <v>0</v>
      </c>
      <c r="G84" s="96"/>
      <c r="H84" s="96"/>
      <c r="I84" s="96">
        <f t="shared" si="29"/>
        <v>0</v>
      </c>
      <c r="J84" s="97">
        <f t="shared" si="30"/>
        <v>0</v>
      </c>
    </row>
    <row r="85" spans="1:10" s="41" customFormat="1" ht="27.6" thickBot="1">
      <c r="A85" s="75" t="s">
        <v>125</v>
      </c>
      <c r="B85" s="56" t="s">
        <v>232</v>
      </c>
      <c r="C85" s="57">
        <v>1</v>
      </c>
      <c r="D85" s="59">
        <v>0</v>
      </c>
      <c r="E85" s="57">
        <v>1</v>
      </c>
      <c r="F85" s="58">
        <f t="shared" si="28"/>
        <v>0</v>
      </c>
      <c r="G85" s="58"/>
      <c r="H85" s="58"/>
      <c r="I85" s="58">
        <f t="shared" si="29"/>
        <v>0</v>
      </c>
      <c r="J85" s="60">
        <f t="shared" si="30"/>
        <v>0</v>
      </c>
    </row>
    <row r="86" spans="1:10" s="41" customFormat="1" ht="36.75">
      <c r="A86" s="433" t="s">
        <v>127</v>
      </c>
      <c r="B86" s="70" t="s">
        <v>233</v>
      </c>
      <c r="C86" s="72">
        <v>1</v>
      </c>
      <c r="D86" s="74">
        <v>0</v>
      </c>
      <c r="E86" s="72">
        <v>3</v>
      </c>
      <c r="F86" s="71">
        <f t="shared" si="28"/>
        <v>0</v>
      </c>
      <c r="G86" s="71"/>
      <c r="H86" s="71"/>
      <c r="I86" s="71">
        <f t="shared" si="29"/>
        <v>0</v>
      </c>
      <c r="J86" s="73">
        <f t="shared" si="30"/>
        <v>0</v>
      </c>
    </row>
    <row r="87" spans="1:10" s="41" customFormat="1" ht="40.15">
      <c r="A87" s="428"/>
      <c r="B87" s="9" t="s">
        <v>234</v>
      </c>
      <c r="C87" s="10">
        <v>1</v>
      </c>
      <c r="D87" s="11">
        <v>0</v>
      </c>
      <c r="E87" s="10">
        <v>3</v>
      </c>
      <c r="F87" s="31">
        <f t="shared" si="28"/>
        <v>0</v>
      </c>
      <c r="G87" s="31"/>
      <c r="H87" s="31"/>
      <c r="I87" s="31">
        <f t="shared" si="29"/>
        <v>0</v>
      </c>
      <c r="J87" s="32">
        <f t="shared" si="30"/>
        <v>0</v>
      </c>
    </row>
    <row r="88" spans="1:10" s="41" customFormat="1" ht="40.15">
      <c r="A88" s="428"/>
      <c r="B88" s="9" t="s">
        <v>235</v>
      </c>
      <c r="C88" s="10">
        <v>1</v>
      </c>
      <c r="D88" s="11">
        <v>0</v>
      </c>
      <c r="E88" s="10">
        <v>3</v>
      </c>
      <c r="F88" s="31">
        <f t="shared" si="28"/>
        <v>0</v>
      </c>
      <c r="G88" s="31"/>
      <c r="H88" s="31"/>
      <c r="I88" s="31">
        <f t="shared" si="29"/>
        <v>0</v>
      </c>
      <c r="J88" s="32">
        <f t="shared" si="30"/>
        <v>0</v>
      </c>
    </row>
    <row r="89" spans="1:10" s="41" customFormat="1" ht="40.15">
      <c r="A89" s="428"/>
      <c r="B89" s="9" t="s">
        <v>236</v>
      </c>
      <c r="C89" s="10">
        <v>1</v>
      </c>
      <c r="D89" s="11">
        <v>0</v>
      </c>
      <c r="E89" s="10">
        <v>3</v>
      </c>
      <c r="F89" s="31">
        <f t="shared" si="28"/>
        <v>0</v>
      </c>
      <c r="G89" s="31"/>
      <c r="H89" s="31"/>
      <c r="I89" s="31">
        <f t="shared" si="29"/>
        <v>0</v>
      </c>
      <c r="J89" s="32">
        <f t="shared" si="30"/>
        <v>0</v>
      </c>
    </row>
    <row r="90" spans="1:10" s="41" customFormat="1" ht="40.15">
      <c r="A90" s="428"/>
      <c r="B90" s="9" t="s">
        <v>237</v>
      </c>
      <c r="C90" s="10">
        <v>1</v>
      </c>
      <c r="D90" s="11">
        <v>0</v>
      </c>
      <c r="E90" s="10">
        <v>3</v>
      </c>
      <c r="F90" s="31">
        <f t="shared" si="28"/>
        <v>0</v>
      </c>
      <c r="G90" s="31"/>
      <c r="H90" s="31"/>
      <c r="I90" s="31">
        <f t="shared" si="29"/>
        <v>0</v>
      </c>
      <c r="J90" s="32">
        <f t="shared" si="30"/>
        <v>0</v>
      </c>
    </row>
    <row r="91" spans="1:10" s="41" customFormat="1" ht="40.15">
      <c r="A91" s="428"/>
      <c r="B91" s="9" t="s">
        <v>238</v>
      </c>
      <c r="C91" s="10">
        <v>1</v>
      </c>
      <c r="D91" s="11">
        <v>0</v>
      </c>
      <c r="E91" s="10">
        <v>3</v>
      </c>
      <c r="F91" s="31">
        <f t="shared" si="28"/>
        <v>0</v>
      </c>
      <c r="G91" s="31"/>
      <c r="H91" s="31"/>
      <c r="I91" s="31">
        <f t="shared" si="29"/>
        <v>0</v>
      </c>
      <c r="J91" s="32">
        <f t="shared" si="30"/>
        <v>0</v>
      </c>
    </row>
    <row r="92" spans="1:10" s="41" customFormat="1" ht="40.9" thickBot="1">
      <c r="A92" s="429"/>
      <c r="B92" s="14" t="s">
        <v>239</v>
      </c>
      <c r="C92" s="15">
        <v>1</v>
      </c>
      <c r="D92" s="16">
        <v>0</v>
      </c>
      <c r="E92" s="15">
        <v>3</v>
      </c>
      <c r="F92" s="33">
        <f t="shared" si="28"/>
        <v>0</v>
      </c>
      <c r="G92" s="33"/>
      <c r="H92" s="33"/>
      <c r="I92" s="33">
        <f t="shared" si="29"/>
        <v>0</v>
      </c>
      <c r="J92" s="34">
        <f t="shared" si="30"/>
        <v>0</v>
      </c>
    </row>
    <row r="93" spans="1:10" ht="15" thickBot="1">
      <c r="A93" s="18"/>
      <c r="B93" s="19" t="s">
        <v>78</v>
      </c>
      <c r="C93" s="20"/>
      <c r="D93" s="21"/>
      <c r="E93" s="20"/>
      <c r="F93" s="38">
        <f>SUM(F81:F92)</f>
        <v>0</v>
      </c>
      <c r="G93" s="38">
        <f>SUM(G81:G92)</f>
        <v>0</v>
      </c>
      <c r="H93" s="38">
        <f>SUM(H81:H92)</f>
        <v>0</v>
      </c>
      <c r="I93" s="38">
        <f>SUM(I81:I92)</f>
        <v>0</v>
      </c>
      <c r="J93" s="38">
        <f>SUM(J81:J92)</f>
        <v>0</v>
      </c>
    </row>
    <row r="94" spans="1:10" ht="15" thickBot="1">
      <c r="A94" s="23"/>
      <c r="B94" s="28" t="s">
        <v>135</v>
      </c>
      <c r="C94" s="82"/>
      <c r="D94" s="83"/>
      <c r="E94" s="82"/>
      <c r="F94" s="83">
        <f>F93</f>
        <v>0</v>
      </c>
      <c r="G94" s="83">
        <f>G93</f>
        <v>0</v>
      </c>
      <c r="H94" s="83">
        <f>H93</f>
        <v>0</v>
      </c>
      <c r="I94" s="83">
        <f>I93</f>
        <v>0</v>
      </c>
      <c r="J94" s="37">
        <f>J93</f>
        <v>0</v>
      </c>
    </row>
    <row r="95" spans="1:10" ht="15" thickBot="1">
      <c r="A95" s="23"/>
      <c r="B95" s="29"/>
      <c r="C95" s="20"/>
      <c r="D95" s="30"/>
      <c r="E95" s="20"/>
      <c r="F95" s="30"/>
      <c r="G95" s="30"/>
      <c r="H95" s="30"/>
      <c r="I95" s="30"/>
      <c r="J95" s="30"/>
    </row>
    <row r="96" spans="1:10" ht="15" thickBot="1">
      <c r="A96" s="431" t="s">
        <v>136</v>
      </c>
      <c r="B96" s="432"/>
      <c r="C96" s="7"/>
      <c r="D96" s="7"/>
      <c r="E96" s="7"/>
      <c r="F96" s="7"/>
      <c r="G96" s="7"/>
      <c r="H96" s="7"/>
      <c r="I96" s="7"/>
      <c r="J96" s="7"/>
    </row>
    <row r="97" spans="1:10" ht="15" thickBot="1">
      <c r="A97" s="78" t="s">
        <v>62</v>
      </c>
      <c r="B97" s="79" t="s">
        <v>13</v>
      </c>
      <c r="C97" s="80" t="s">
        <v>63</v>
      </c>
      <c r="D97" s="80" t="s">
        <v>64</v>
      </c>
      <c r="E97" s="80" t="s">
        <v>65</v>
      </c>
      <c r="F97" s="80" t="s">
        <v>66</v>
      </c>
      <c r="G97" s="80" t="s">
        <v>27</v>
      </c>
      <c r="H97" s="80" t="s">
        <v>68</v>
      </c>
      <c r="I97" s="80" t="s">
        <v>69</v>
      </c>
      <c r="J97" s="8" t="s">
        <v>70</v>
      </c>
    </row>
    <row r="98" spans="1:10" s="41" customFormat="1" ht="27">
      <c r="A98" s="434" t="s">
        <v>137</v>
      </c>
      <c r="B98" s="70" t="s">
        <v>138</v>
      </c>
      <c r="C98" s="72">
        <v>4</v>
      </c>
      <c r="D98" s="74">
        <v>10429.41</v>
      </c>
      <c r="E98" s="72">
        <v>5</v>
      </c>
      <c r="F98" s="74">
        <f>SUM(C98*D98*E98)</f>
        <v>208588.2</v>
      </c>
      <c r="G98" s="74">
        <f>312.88*C98*E98</f>
        <v>6257.6</v>
      </c>
      <c r="H98" s="74">
        <f>310*C98*E98</f>
        <v>6200</v>
      </c>
      <c r="I98" s="74">
        <f>(F98+G98+H98)*16%</f>
        <v>35367.328000000001</v>
      </c>
      <c r="J98" s="81">
        <f t="shared" ref="J98:J101" si="31">I98+H98+G98+F98</f>
        <v>256413.12800000003</v>
      </c>
    </row>
    <row r="99" spans="1:10" s="41" customFormat="1" ht="15" thickBot="1">
      <c r="A99" s="435"/>
      <c r="B99" s="14" t="s">
        <v>73</v>
      </c>
      <c r="C99" s="15">
        <v>4</v>
      </c>
      <c r="D99" s="44">
        <v>79</v>
      </c>
      <c r="E99" s="43">
        <v>5</v>
      </c>
      <c r="F99" s="44"/>
      <c r="G99" s="44"/>
      <c r="H99" s="44">
        <f>E99*D99*C99</f>
        <v>1580</v>
      </c>
      <c r="I99" s="44">
        <v>0</v>
      </c>
      <c r="J99" s="45">
        <f t="shared" si="31"/>
        <v>1580</v>
      </c>
    </row>
    <row r="100" spans="1:10" s="41" customFormat="1" ht="27">
      <c r="A100" s="435"/>
      <c r="B100" s="70" t="s">
        <v>139</v>
      </c>
      <c r="C100" s="72">
        <v>1</v>
      </c>
      <c r="D100" s="74">
        <v>10429.41</v>
      </c>
      <c r="E100" s="72">
        <v>5</v>
      </c>
      <c r="F100" s="74">
        <f>SUM(C100*D100*E100)</f>
        <v>52147.05</v>
      </c>
      <c r="G100" s="74">
        <f>312.88*C100*E100</f>
        <v>1564.4</v>
      </c>
      <c r="H100" s="74">
        <f>310*C100*E100</f>
        <v>1550</v>
      </c>
      <c r="I100" s="74">
        <f>(F100+G100+H100)*16%</f>
        <v>8841.8320000000003</v>
      </c>
      <c r="J100" s="81">
        <f t="shared" si="31"/>
        <v>64103.282000000007</v>
      </c>
    </row>
    <row r="101" spans="1:10" s="41" customFormat="1" ht="15" thickBot="1">
      <c r="A101" s="435"/>
      <c r="B101" s="14" t="s">
        <v>73</v>
      </c>
      <c r="C101" s="15">
        <v>1</v>
      </c>
      <c r="D101" s="44">
        <v>79</v>
      </c>
      <c r="E101" s="43">
        <v>5</v>
      </c>
      <c r="F101" s="44"/>
      <c r="G101" s="44"/>
      <c r="H101" s="44">
        <f>E101*D101*C101</f>
        <v>395</v>
      </c>
      <c r="I101" s="44">
        <v>0</v>
      </c>
      <c r="J101" s="45">
        <f t="shared" si="31"/>
        <v>395</v>
      </c>
    </row>
    <row r="102" spans="1:10" s="41" customFormat="1" ht="15">
      <c r="A102" s="435"/>
      <c r="B102" s="528" t="s">
        <v>140</v>
      </c>
      <c r="C102" s="529">
        <v>10</v>
      </c>
      <c r="D102" s="530">
        <v>6046</v>
      </c>
      <c r="E102" s="529">
        <v>1</v>
      </c>
      <c r="F102" s="530">
        <f>SUM(C102*D102*E102)</f>
        <v>60460</v>
      </c>
      <c r="G102" s="530">
        <v>0</v>
      </c>
      <c r="H102" s="530">
        <f>2355*C102</f>
        <v>23550</v>
      </c>
      <c r="I102" s="530">
        <f>968*C102</f>
        <v>9680</v>
      </c>
      <c r="J102" s="530">
        <f>I102+H102+G102+F102</f>
        <v>93690</v>
      </c>
    </row>
    <row r="103" spans="1:10" s="41" customFormat="1" ht="15">
      <c r="A103" s="437"/>
      <c r="B103" s="528" t="s">
        <v>141</v>
      </c>
      <c r="C103" s="529">
        <v>10</v>
      </c>
      <c r="D103" s="530">
        <v>230</v>
      </c>
      <c r="E103" s="529">
        <v>1</v>
      </c>
      <c r="F103" s="530">
        <f>C103*D103*E103</f>
        <v>2300</v>
      </c>
      <c r="G103" s="530"/>
      <c r="H103" s="530"/>
      <c r="I103" s="530">
        <f>F103*16%</f>
        <v>368</v>
      </c>
      <c r="J103" s="530">
        <f>SUM(F103:I103)</f>
        <v>2668</v>
      </c>
    </row>
    <row r="104" spans="1:10" s="41" customFormat="1" ht="19.899999999999999" customHeight="1" thickBot="1">
      <c r="A104" s="436"/>
      <c r="B104" s="14" t="s">
        <v>142</v>
      </c>
      <c r="C104" s="15">
        <v>10</v>
      </c>
      <c r="D104" s="16">
        <v>1500</v>
      </c>
      <c r="E104" s="15">
        <v>5</v>
      </c>
      <c r="F104" s="16">
        <f t="shared" ref="F102:F104" si="32">SUM(C104*D104*E104)</f>
        <v>75000</v>
      </c>
      <c r="G104" s="16">
        <v>0</v>
      </c>
      <c r="H104" s="16">
        <v>0</v>
      </c>
      <c r="I104" s="16">
        <f t="shared" ref="I102:I104" si="33">(F104*16%)+(G104*16%)+(H104*16%)</f>
        <v>12000</v>
      </c>
      <c r="J104" s="17">
        <f t="shared" ref="J102:J104" si="34">I104+H104+G104+F104</f>
        <v>87000</v>
      </c>
    </row>
    <row r="105" spans="1:10" ht="15" thickBot="1">
      <c r="A105" s="18"/>
      <c r="B105" s="19" t="s">
        <v>78</v>
      </c>
      <c r="C105" s="35"/>
      <c r="D105" s="36"/>
      <c r="E105" s="35"/>
      <c r="F105" s="65">
        <f>SUM(F98:F104)</f>
        <v>398495.25</v>
      </c>
      <c r="G105" s="65">
        <f>SUM(G98:G104)</f>
        <v>7822</v>
      </c>
      <c r="H105" s="65">
        <f t="shared" ref="H105:J105" si="35">SUM(H98:H104)</f>
        <v>33275</v>
      </c>
      <c r="I105" s="65">
        <f t="shared" si="35"/>
        <v>66257.16</v>
      </c>
      <c r="J105" s="65">
        <f t="shared" si="35"/>
        <v>505849.41000000003</v>
      </c>
    </row>
    <row r="106" spans="1:10" ht="27" thickBot="1">
      <c r="A106" s="23"/>
      <c r="B106" s="28" t="s">
        <v>143</v>
      </c>
      <c r="C106" s="82"/>
      <c r="D106" s="83"/>
      <c r="E106" s="82"/>
      <c r="F106" s="83">
        <f>F105</f>
        <v>398495.25</v>
      </c>
      <c r="G106" s="83">
        <f>G105</f>
        <v>7822</v>
      </c>
      <c r="H106" s="83">
        <f>H105</f>
        <v>33275</v>
      </c>
      <c r="I106" s="83">
        <f>I105</f>
        <v>66257.16</v>
      </c>
      <c r="J106" s="83">
        <f>J105</f>
        <v>505849.41000000003</v>
      </c>
    </row>
    <row r="107" spans="1:10">
      <c r="A107" s="23"/>
      <c r="B107" s="24"/>
      <c r="C107" s="25"/>
      <c r="D107" s="26"/>
      <c r="E107" s="25"/>
      <c r="F107" s="26"/>
      <c r="G107" s="26"/>
      <c r="H107" s="26"/>
      <c r="I107" s="26"/>
      <c r="J107" s="26"/>
    </row>
    <row r="108" spans="1:10" ht="24" thickBot="1">
      <c r="A108" s="430" t="s">
        <v>1</v>
      </c>
      <c r="B108" s="430"/>
      <c r="C108" s="430"/>
      <c r="D108" s="430"/>
      <c r="E108" s="430"/>
      <c r="F108" s="26"/>
      <c r="G108" s="26"/>
      <c r="H108" s="26"/>
      <c r="I108" s="26"/>
      <c r="J108" s="26"/>
    </row>
    <row r="109" spans="1:10" ht="15" thickBot="1">
      <c r="A109" s="39"/>
      <c r="B109" s="85"/>
      <c r="C109" s="82"/>
      <c r="D109" s="83"/>
      <c r="E109" s="86" t="s">
        <v>144</v>
      </c>
      <c r="F109" s="83">
        <f>F28</f>
        <v>6796511.6999999993</v>
      </c>
      <c r="G109" s="83">
        <f>G28</f>
        <v>202695.06</v>
      </c>
      <c r="H109" s="83">
        <f>H28</f>
        <v>251615</v>
      </c>
      <c r="I109" s="83">
        <f>I28</f>
        <v>1151725.8816</v>
      </c>
      <c r="J109" s="83">
        <f>SUM(F109:I109)</f>
        <v>8402547.6415999979</v>
      </c>
    </row>
    <row r="110" spans="1:10" ht="15" thickBot="1">
      <c r="A110" s="39"/>
      <c r="B110" s="85"/>
      <c r="C110" s="82"/>
      <c r="D110" s="83"/>
      <c r="E110" s="86" t="s">
        <v>145</v>
      </c>
      <c r="F110" s="83">
        <f>F54</f>
        <v>0</v>
      </c>
      <c r="G110" s="83">
        <f>G54</f>
        <v>0</v>
      </c>
      <c r="H110" s="83">
        <f>H54</f>
        <v>0</v>
      </c>
      <c r="I110" s="83">
        <f>I54</f>
        <v>0</v>
      </c>
      <c r="J110" s="83">
        <f>SUM(F110:I110)</f>
        <v>0</v>
      </c>
    </row>
    <row r="111" spans="1:10" ht="15" thickBot="1">
      <c r="A111" s="39"/>
      <c r="B111" s="85"/>
      <c r="C111" s="82"/>
      <c r="D111" s="83"/>
      <c r="E111" s="86" t="s">
        <v>146</v>
      </c>
      <c r="F111" s="83">
        <f>F69</f>
        <v>262440</v>
      </c>
      <c r="G111" s="83">
        <f>G69</f>
        <v>0</v>
      </c>
      <c r="H111" s="83">
        <f>H69</f>
        <v>15746.4</v>
      </c>
      <c r="I111" s="83">
        <f>I69</f>
        <v>41990.400000000009</v>
      </c>
      <c r="J111" s="83">
        <f>SUM(F111:I111)</f>
        <v>320176.80000000005</v>
      </c>
    </row>
    <row r="112" spans="1:10" ht="15" thickBot="1">
      <c r="A112" s="39"/>
      <c r="B112" s="85"/>
      <c r="C112" s="82"/>
      <c r="D112" s="83"/>
      <c r="E112" s="86" t="str">
        <f>A71</f>
        <v>TELEMARKETING</v>
      </c>
      <c r="F112" s="83">
        <f>F77</f>
        <v>0</v>
      </c>
      <c r="G112" s="83">
        <f>G77</f>
        <v>0</v>
      </c>
      <c r="H112" s="83">
        <f>H77</f>
        <v>0</v>
      </c>
      <c r="I112" s="83">
        <f>I77</f>
        <v>0</v>
      </c>
      <c r="J112" s="83">
        <f>SUM(F112:I112)</f>
        <v>0</v>
      </c>
    </row>
    <row r="113" spans="1:10" ht="15" thickBot="1">
      <c r="A113" s="39"/>
      <c r="B113" s="85"/>
      <c r="C113" s="82"/>
      <c r="D113" s="83"/>
      <c r="E113" s="86" t="s">
        <v>30</v>
      </c>
      <c r="F113" s="83">
        <f>F94</f>
        <v>0</v>
      </c>
      <c r="G113" s="83">
        <f>G94</f>
        <v>0</v>
      </c>
      <c r="H113" s="83">
        <f>H94</f>
        <v>0</v>
      </c>
      <c r="I113" s="83">
        <f>I94</f>
        <v>0</v>
      </c>
      <c r="J113" s="83">
        <f>SUM(F113:I113)</f>
        <v>0</v>
      </c>
    </row>
    <row r="114" spans="1:10" ht="15" thickBot="1">
      <c r="A114" s="40"/>
      <c r="B114" s="87"/>
      <c r="C114" s="88"/>
      <c r="D114" s="89"/>
      <c r="E114" s="90" t="s">
        <v>147</v>
      </c>
      <c r="F114" s="89">
        <f>SUM(F109:F113)</f>
        <v>7058951.6999999993</v>
      </c>
      <c r="G114" s="89">
        <f t="shared" ref="G114:I114" si="36">SUM(G109:G113)</f>
        <v>202695.06</v>
      </c>
      <c r="H114" s="89">
        <f t="shared" si="36"/>
        <v>267361.40000000002</v>
      </c>
      <c r="I114" s="89">
        <f t="shared" si="36"/>
        <v>1193716.2815999999</v>
      </c>
      <c r="J114" s="89">
        <f>SUM(J109:J113)</f>
        <v>8722724.4415999986</v>
      </c>
    </row>
    <row r="115" spans="1:10" ht="15" thickBot="1">
      <c r="A115" s="39"/>
      <c r="B115" s="85"/>
      <c r="C115" s="82"/>
      <c r="D115" s="83"/>
      <c r="E115" s="86" t="s">
        <v>148</v>
      </c>
      <c r="F115" s="83">
        <f>(F109+F110+F111+F112+F113)*6%</f>
        <v>423537.10199999996</v>
      </c>
      <c r="G115" s="83"/>
      <c r="H115" s="83"/>
      <c r="I115" s="83">
        <f>F115*16%</f>
        <v>67765.936319999993</v>
      </c>
      <c r="J115" s="83">
        <f>SUM(F115:I115)</f>
        <v>491303.03831999993</v>
      </c>
    </row>
    <row r="116" spans="1:10" ht="15" thickBot="1">
      <c r="A116" s="39"/>
      <c r="B116" s="85"/>
      <c r="C116" s="82"/>
      <c r="D116" s="83"/>
      <c r="E116" s="86" t="s">
        <v>149</v>
      </c>
      <c r="F116" s="83">
        <f>F106</f>
        <v>398495.25</v>
      </c>
      <c r="G116" s="83">
        <f>G106</f>
        <v>7822</v>
      </c>
      <c r="H116" s="83">
        <f>H106</f>
        <v>33275</v>
      </c>
      <c r="I116" s="83">
        <f>I106</f>
        <v>66257.16</v>
      </c>
      <c r="J116" s="83">
        <f>SUM(F116:I116)</f>
        <v>505849.41000000003</v>
      </c>
    </row>
    <row r="117" spans="1:10" ht="15" thickBot="1">
      <c r="A117" s="40"/>
      <c r="B117" s="87"/>
      <c r="C117" s="88"/>
      <c r="D117" s="89"/>
      <c r="E117" s="90" t="s">
        <v>150</v>
      </c>
      <c r="F117" s="89">
        <f>SUM(F114:F116)</f>
        <v>7880984.0519999992</v>
      </c>
      <c r="G117" s="89">
        <f>SUM(G114:G116)</f>
        <v>210517.06</v>
      </c>
      <c r="H117" s="89">
        <f>SUM(H114:H116)</f>
        <v>300636.40000000002</v>
      </c>
      <c r="I117" s="89">
        <f>SUM(I114:I116)</f>
        <v>1327739.3779199999</v>
      </c>
      <c r="J117" s="89">
        <f>SUM(J114:J116)</f>
        <v>9719876.8899199981</v>
      </c>
    </row>
    <row r="119" spans="1:10">
      <c r="A119" s="98" t="s">
        <v>192</v>
      </c>
    </row>
    <row r="120" spans="1:10">
      <c r="A120" s="98" t="s">
        <v>151</v>
      </c>
    </row>
    <row r="121" spans="1:10" ht="15"/>
    <row r="122" spans="1:10" ht="15"/>
    <row r="123" spans="1:10" ht="15"/>
    <row r="124" spans="1:10" ht="15"/>
    <row r="125" spans="1:10" ht="15"/>
    <row r="127" spans="1:10" ht="15"/>
    <row r="128" spans="1:10" ht="15"/>
    <row r="129" ht="15"/>
    <row r="131" ht="15"/>
  </sheetData>
  <mergeCells count="28">
    <mergeCell ref="A21:A25"/>
    <mergeCell ref="A19:A20"/>
    <mergeCell ref="A1:J5"/>
    <mergeCell ref="B7:J7"/>
    <mergeCell ref="B8:J8"/>
    <mergeCell ref="B9:J9"/>
    <mergeCell ref="B10:J10"/>
    <mergeCell ref="B11:J11"/>
    <mergeCell ref="B12:J12"/>
    <mergeCell ref="B13:J13"/>
    <mergeCell ref="F14:G14"/>
    <mergeCell ref="H14:J14"/>
    <mergeCell ref="A17:B17"/>
    <mergeCell ref="A79:B79"/>
    <mergeCell ref="A31:B31"/>
    <mergeCell ref="A33:A34"/>
    <mergeCell ref="A35:A40"/>
    <mergeCell ref="A41:A46"/>
    <mergeCell ref="A47:A51"/>
    <mergeCell ref="A57:B57"/>
    <mergeCell ref="A59:A65"/>
    <mergeCell ref="A66:A67"/>
    <mergeCell ref="A71:B71"/>
    <mergeCell ref="A81:A83"/>
    <mergeCell ref="A86:A92"/>
    <mergeCell ref="A96:B96"/>
    <mergeCell ref="A98:A104"/>
    <mergeCell ref="A108:E108"/>
  </mergeCells>
  <pageMargins left="0.7" right="0.7" top="0.75" bottom="0.75" header="0.3" footer="0.3"/>
  <ignoredErrors>
    <ignoredError sqref="H20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8FEE-8991-4343-BFCC-51C8AF7070CA}">
  <sheetPr>
    <tabColor theme="0"/>
  </sheetPr>
  <dimension ref="A1:N115"/>
  <sheetViews>
    <sheetView zoomScale="90" zoomScaleNormal="90" workbookViewId="0">
      <selection activeCell="F100" sqref="F100:I100"/>
    </sheetView>
  </sheetViews>
  <sheetFormatPr defaultColWidth="8.85546875" defaultRowHeight="15"/>
  <cols>
    <col min="1" max="1" width="20.7109375" customWidth="1"/>
    <col min="2" max="2" width="51.5703125" customWidth="1"/>
    <col min="3" max="3" width="10.5703125" customWidth="1"/>
    <col min="4" max="5" width="13.85546875" customWidth="1"/>
    <col min="6" max="6" width="16.85546875" customWidth="1"/>
    <col min="7" max="8" width="13.85546875" customWidth="1"/>
    <col min="9" max="9" width="15.28515625" bestFit="1" customWidth="1"/>
    <col min="10" max="10" width="19.28515625" customWidth="1"/>
    <col min="11" max="11" width="9.140625"/>
    <col min="12" max="12" width="12.28515625" bestFit="1" customWidth="1"/>
  </cols>
  <sheetData>
    <row r="1" spans="1:10">
      <c r="A1" s="438" t="s">
        <v>44</v>
      </c>
      <c r="B1" s="439"/>
      <c r="C1" s="439"/>
      <c r="D1" s="439"/>
      <c r="E1" s="439"/>
      <c r="F1" s="439"/>
      <c r="G1" s="439"/>
      <c r="H1" s="439"/>
      <c r="I1" s="439"/>
      <c r="J1" s="440"/>
    </row>
    <row r="2" spans="1:10">
      <c r="A2" s="441"/>
      <c r="B2" s="442"/>
      <c r="C2" s="442"/>
      <c r="D2" s="442"/>
      <c r="E2" s="442"/>
      <c r="F2" s="442"/>
      <c r="G2" s="442"/>
      <c r="H2" s="442"/>
      <c r="I2" s="442"/>
      <c r="J2" s="443"/>
    </row>
    <row r="3" spans="1:10">
      <c r="A3" s="441"/>
      <c r="B3" s="442"/>
      <c r="C3" s="442"/>
      <c r="D3" s="442"/>
      <c r="E3" s="442"/>
      <c r="F3" s="442"/>
      <c r="G3" s="442"/>
      <c r="H3" s="442"/>
      <c r="I3" s="442"/>
      <c r="J3" s="443"/>
    </row>
    <row r="4" spans="1:10">
      <c r="A4" s="441"/>
      <c r="B4" s="442"/>
      <c r="C4" s="442"/>
      <c r="D4" s="442"/>
      <c r="E4" s="442"/>
      <c r="F4" s="442"/>
      <c r="G4" s="442"/>
      <c r="H4" s="442"/>
      <c r="I4" s="442"/>
      <c r="J4" s="443"/>
    </row>
    <row r="5" spans="1:10">
      <c r="A5" s="444"/>
      <c r="B5" s="445"/>
      <c r="C5" s="445"/>
      <c r="D5" s="445"/>
      <c r="E5" s="445"/>
      <c r="F5" s="445"/>
      <c r="G5" s="445"/>
      <c r="H5" s="445"/>
      <c r="I5" s="445"/>
      <c r="J5" s="446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>
      <c r="A7" s="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75">
      <c r="A8" s="2" t="s">
        <v>46</v>
      </c>
      <c r="B8" s="448" t="s">
        <v>240</v>
      </c>
      <c r="C8" s="448"/>
      <c r="D8" s="448"/>
      <c r="E8" s="448"/>
      <c r="F8" s="448"/>
      <c r="G8" s="448"/>
      <c r="H8" s="448"/>
      <c r="I8" s="448"/>
      <c r="J8" s="448"/>
    </row>
    <row r="9" spans="1:10" ht="15.75">
      <c r="A9" s="2" t="s">
        <v>48</v>
      </c>
      <c r="B9" s="449" t="s">
        <v>241</v>
      </c>
      <c r="C9" s="449"/>
      <c r="D9" s="449"/>
      <c r="E9" s="449"/>
      <c r="F9" s="449"/>
      <c r="G9" s="449"/>
      <c r="H9" s="449"/>
      <c r="I9" s="449"/>
      <c r="J9" s="449"/>
    </row>
    <row r="10" spans="1:10" ht="15.75">
      <c r="A10" s="2" t="s">
        <v>50</v>
      </c>
      <c r="B10" s="450" t="s">
        <v>195</v>
      </c>
      <c r="C10" s="450"/>
      <c r="D10" s="450"/>
      <c r="E10" s="450"/>
      <c r="F10" s="450"/>
      <c r="G10" s="450"/>
      <c r="H10" s="450"/>
      <c r="I10" s="450"/>
      <c r="J10" s="450"/>
    </row>
    <row r="11" spans="1:10" ht="15.75">
      <c r="A11" s="2" t="s">
        <v>52</v>
      </c>
      <c r="B11" s="450" t="s">
        <v>154</v>
      </c>
      <c r="C11" s="450"/>
      <c r="D11" s="450"/>
      <c r="E11" s="450"/>
      <c r="F11" s="450"/>
      <c r="G11" s="450"/>
      <c r="H11" s="450"/>
      <c r="I11" s="450"/>
      <c r="J11" s="450"/>
    </row>
    <row r="12" spans="1:10" ht="15.75">
      <c r="A12" s="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2" t="s">
        <v>56</v>
      </c>
      <c r="B13" s="450"/>
      <c r="C13" s="450"/>
      <c r="D13" s="450"/>
      <c r="E13" s="450"/>
      <c r="F13" s="450"/>
      <c r="G13" s="450"/>
      <c r="H13" s="450"/>
      <c r="I13" s="450"/>
      <c r="J13" s="450"/>
    </row>
    <row r="14" spans="1:10">
      <c r="A14" s="3" t="s">
        <v>57</v>
      </c>
      <c r="B14" s="4" t="s">
        <v>58</v>
      </c>
      <c r="C14" s="5" t="s">
        <v>59</v>
      </c>
      <c r="D14" s="6">
        <v>0</v>
      </c>
      <c r="E14" s="7"/>
      <c r="F14" s="451" t="s">
        <v>60</v>
      </c>
      <c r="G14" s="451"/>
      <c r="H14" s="452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ht="15" customHeight="1">
      <c r="A17" s="431" t="s">
        <v>61</v>
      </c>
      <c r="B17" s="432"/>
      <c r="C17" s="7"/>
      <c r="D17" s="7"/>
      <c r="E17" s="7"/>
      <c r="F17" s="7"/>
      <c r="G17" s="7"/>
      <c r="H17" s="7"/>
      <c r="I17" s="7"/>
      <c r="J17" s="7"/>
    </row>
    <row r="18" spans="1:12">
      <c r="A18" s="78" t="s">
        <v>62</v>
      </c>
      <c r="B18" s="79" t="s">
        <v>13</v>
      </c>
      <c r="C18" s="80" t="s">
        <v>63</v>
      </c>
      <c r="D18" s="80" t="s">
        <v>64</v>
      </c>
      <c r="E18" s="80" t="s">
        <v>65</v>
      </c>
      <c r="F18" s="80" t="s">
        <v>66</v>
      </c>
      <c r="G18" s="80" t="s">
        <v>67</v>
      </c>
      <c r="H18" s="80" t="s">
        <v>68</v>
      </c>
      <c r="I18" s="80" t="s">
        <v>69</v>
      </c>
      <c r="J18" s="8" t="s">
        <v>70</v>
      </c>
    </row>
    <row r="19" spans="1:12" s="41" customFormat="1">
      <c r="A19" s="264" t="s">
        <v>71</v>
      </c>
      <c r="B19" s="70" t="s">
        <v>242</v>
      </c>
      <c r="C19" s="72">
        <v>5</v>
      </c>
      <c r="D19" s="74">
        <v>21741.4</v>
      </c>
      <c r="E19" s="72">
        <v>1</v>
      </c>
      <c r="F19" s="74">
        <f>SUM(C19*D19*E19)</f>
        <v>108707</v>
      </c>
      <c r="G19" s="74">
        <f>0*C19*E19</f>
        <v>0</v>
      </c>
      <c r="H19" s="74">
        <f>0*C19*E19</f>
        <v>0</v>
      </c>
      <c r="I19" s="74">
        <f>F19*16%</f>
        <v>17393.12</v>
      </c>
      <c r="J19" s="81">
        <f>I19+H19+G19+F19</f>
        <v>126100.12</v>
      </c>
      <c r="L19" s="123"/>
    </row>
    <row r="20" spans="1:12" s="41" customFormat="1">
      <c r="A20" s="427" t="s">
        <v>74</v>
      </c>
      <c r="B20" s="46" t="s">
        <v>72</v>
      </c>
      <c r="C20" s="47">
        <v>30</v>
      </c>
      <c r="D20" s="48">
        <v>21741.4</v>
      </c>
      <c r="E20" s="47">
        <v>3</v>
      </c>
      <c r="F20" s="48">
        <f>SUM(C20*D20*E20)</f>
        <v>1956726</v>
      </c>
      <c r="G20" s="74">
        <f>0*C20*E20</f>
        <v>0</v>
      </c>
      <c r="H20" s="74">
        <f>0*C20*E20</f>
        <v>0</v>
      </c>
      <c r="I20" s="74">
        <f>F20*16%</f>
        <v>313076.16000000003</v>
      </c>
      <c r="J20" s="49">
        <f>I20+H20+G20+F20</f>
        <v>2269802.16</v>
      </c>
    </row>
    <row r="21" spans="1:12" s="41" customFormat="1">
      <c r="A21" s="428"/>
      <c r="B21" s="70" t="s">
        <v>155</v>
      </c>
      <c r="C21" s="72">
        <v>190</v>
      </c>
      <c r="D21" s="74">
        <v>21741.4</v>
      </c>
      <c r="E21" s="72">
        <v>3</v>
      </c>
      <c r="F21" s="74">
        <f>SUM(C21*D21*E21)</f>
        <v>12392598.000000002</v>
      </c>
      <c r="G21" s="74">
        <f>0*C21*E21</f>
        <v>0</v>
      </c>
      <c r="H21" s="74">
        <f>0*C21*E21</f>
        <v>0</v>
      </c>
      <c r="I21" s="74">
        <f>F21*16%</f>
        <v>1982815.6800000004</v>
      </c>
      <c r="J21" s="81">
        <f t="shared" ref="J21:J22" si="0">I21+H21+G21+F21</f>
        <v>14375413.680000002</v>
      </c>
    </row>
    <row r="22" spans="1:12" s="41" customFormat="1">
      <c r="A22" s="429"/>
      <c r="B22" s="99" t="s">
        <v>76</v>
      </c>
      <c r="C22" s="100">
        <v>-4</v>
      </c>
      <c r="D22" s="101">
        <v>-21741.4</v>
      </c>
      <c r="E22" s="100">
        <v>-3</v>
      </c>
      <c r="F22" s="101">
        <f>SUM(C22*D22*E22)</f>
        <v>-260896.80000000002</v>
      </c>
      <c r="G22" s="101">
        <f>0*C22*E22</f>
        <v>0</v>
      </c>
      <c r="H22" s="265">
        <f>1000*4*3</f>
        <v>12000</v>
      </c>
      <c r="I22" s="248">
        <f>F22*16%</f>
        <v>-41743.488000000005</v>
      </c>
      <c r="J22" s="102">
        <f t="shared" si="0"/>
        <v>-290640.288</v>
      </c>
    </row>
    <row r="23" spans="1:12" s="41" customFormat="1">
      <c r="A23" s="418"/>
      <c r="B23" s="419" t="s">
        <v>77</v>
      </c>
      <c r="C23" s="420">
        <v>1</v>
      </c>
      <c r="D23" s="174">
        <v>50000</v>
      </c>
      <c r="E23" s="173">
        <v>1</v>
      </c>
      <c r="F23" s="209">
        <f>SUM(C23*D23*E23)</f>
        <v>50000</v>
      </c>
      <c r="G23" s="209">
        <f>300.66*C23*E23</f>
        <v>300.66000000000003</v>
      </c>
      <c r="H23" s="209">
        <f>155*C23*E23</f>
        <v>155</v>
      </c>
      <c r="I23" s="174">
        <f>(F23+G23+H23)*16%</f>
        <v>8072.905600000001</v>
      </c>
      <c r="J23" s="225">
        <f>I23+H23+G23+F23</f>
        <v>58528.565600000002</v>
      </c>
    </row>
    <row r="24" spans="1:12">
      <c r="A24" s="18"/>
      <c r="B24" s="19" t="s">
        <v>78</v>
      </c>
      <c r="C24" s="20"/>
      <c r="D24" s="21"/>
      <c r="E24" s="20"/>
      <c r="F24" s="22">
        <f>SUM(F19:F23)</f>
        <v>14247134.200000001</v>
      </c>
      <c r="G24" s="22">
        <f>SUM(G19:G23)</f>
        <v>300.66000000000003</v>
      </c>
      <c r="H24" s="22">
        <f>SUM(H19:H23)</f>
        <v>12155</v>
      </c>
      <c r="I24" s="22">
        <f>SUM(I19:I23)</f>
        <v>2279614.3776000007</v>
      </c>
      <c r="J24" s="22">
        <f>SUM(J19:J23)</f>
        <v>16539204.237600001</v>
      </c>
    </row>
    <row r="25" spans="1:12">
      <c r="A25" s="23"/>
      <c r="B25" s="28" t="s">
        <v>79</v>
      </c>
      <c r="C25" s="82"/>
      <c r="D25" s="83"/>
      <c r="E25" s="82"/>
      <c r="F25" s="83">
        <f>F24</f>
        <v>14247134.200000001</v>
      </c>
      <c r="G25" s="83">
        <f t="shared" ref="G25:J25" si="1">G24</f>
        <v>300.66000000000003</v>
      </c>
      <c r="H25" s="83">
        <f t="shared" si="1"/>
        <v>12155</v>
      </c>
      <c r="I25" s="83">
        <f t="shared" si="1"/>
        <v>2279614.3776000007</v>
      </c>
      <c r="J25" s="83">
        <f t="shared" si="1"/>
        <v>16539204.237600001</v>
      </c>
    </row>
    <row r="26" spans="1:12">
      <c r="A26" s="18"/>
      <c r="B26" s="29"/>
      <c r="C26" s="20"/>
      <c r="D26" s="30"/>
      <c r="E26" s="20"/>
      <c r="F26" s="30"/>
      <c r="G26" s="30"/>
      <c r="H26" s="30"/>
      <c r="I26" s="30"/>
      <c r="J26" s="30"/>
    </row>
    <row r="27" spans="1:12">
      <c r="A27" s="18"/>
      <c r="B27" s="29"/>
      <c r="C27" s="20"/>
      <c r="D27" s="30"/>
      <c r="E27" s="20"/>
      <c r="F27" s="30"/>
      <c r="G27" s="30"/>
      <c r="H27" s="30"/>
      <c r="I27" s="30"/>
      <c r="J27" s="30"/>
    </row>
    <row r="28" spans="1:12">
      <c r="A28" s="431" t="s">
        <v>80</v>
      </c>
      <c r="B28" s="432"/>
      <c r="C28" s="7"/>
      <c r="D28" s="7"/>
      <c r="E28" s="7"/>
      <c r="F28" s="7"/>
      <c r="G28" s="7"/>
      <c r="H28" s="7"/>
      <c r="I28" s="7"/>
      <c r="J28" s="7"/>
    </row>
    <row r="29" spans="1:12">
      <c r="A29" s="78" t="s">
        <v>62</v>
      </c>
      <c r="B29" s="79" t="s">
        <v>13</v>
      </c>
      <c r="C29" s="80" t="s">
        <v>63</v>
      </c>
      <c r="D29" s="80" t="s">
        <v>64</v>
      </c>
      <c r="E29" s="80" t="s">
        <v>65</v>
      </c>
      <c r="F29" s="80" t="s">
        <v>66</v>
      </c>
      <c r="G29" s="80" t="s">
        <v>27</v>
      </c>
      <c r="H29" s="80" t="s">
        <v>68</v>
      </c>
      <c r="I29" s="80" t="s">
        <v>69</v>
      </c>
      <c r="J29" s="8" t="s">
        <v>70</v>
      </c>
    </row>
    <row r="30" spans="1:12" s="41" customFormat="1" ht="36.75">
      <c r="A30" s="434" t="s">
        <v>71</v>
      </c>
      <c r="B30" s="128" t="s">
        <v>81</v>
      </c>
      <c r="C30" s="72">
        <v>5</v>
      </c>
      <c r="D30" s="71">
        <v>0</v>
      </c>
      <c r="E30" s="72">
        <v>1</v>
      </c>
      <c r="F30" s="74">
        <f t="shared" ref="F30:F37" si="2">SUM(C30*D30*E30)</f>
        <v>0</v>
      </c>
      <c r="G30" s="71"/>
      <c r="H30" s="71">
        <f t="shared" ref="H30:H37" si="3">F30*15%</f>
        <v>0</v>
      </c>
      <c r="I30" s="71">
        <f t="shared" ref="I30:I37" si="4">(F30*16%)+(H30*16%)</f>
        <v>0</v>
      </c>
      <c r="J30" s="73">
        <f t="shared" ref="J30:J37" si="5">I30+H30+G30+F30</f>
        <v>0</v>
      </c>
    </row>
    <row r="31" spans="1:12" s="41" customFormat="1">
      <c r="A31" s="436"/>
      <c r="B31" s="126" t="s">
        <v>82</v>
      </c>
      <c r="C31" s="57">
        <v>5</v>
      </c>
      <c r="D31" s="58">
        <v>0</v>
      </c>
      <c r="E31" s="57">
        <v>1</v>
      </c>
      <c r="F31" s="59">
        <f t="shared" si="2"/>
        <v>0</v>
      </c>
      <c r="G31" s="58"/>
      <c r="H31" s="58">
        <f t="shared" si="3"/>
        <v>0</v>
      </c>
      <c r="I31" s="58">
        <f t="shared" si="4"/>
        <v>0</v>
      </c>
      <c r="J31" s="60">
        <f t="shared" si="5"/>
        <v>0</v>
      </c>
    </row>
    <row r="32" spans="1:12" s="41" customFormat="1" ht="40.5" customHeight="1">
      <c r="A32" s="435" t="s">
        <v>83</v>
      </c>
      <c r="B32" s="129" t="s">
        <v>243</v>
      </c>
      <c r="C32" s="10">
        <v>5</v>
      </c>
      <c r="D32" s="31">
        <v>0</v>
      </c>
      <c r="E32" s="10">
        <v>1</v>
      </c>
      <c r="F32" s="48">
        <f t="shared" si="2"/>
        <v>0</v>
      </c>
      <c r="G32" s="31"/>
      <c r="H32" s="31">
        <f t="shared" si="3"/>
        <v>0</v>
      </c>
      <c r="I32" s="31">
        <f t="shared" si="4"/>
        <v>0</v>
      </c>
      <c r="J32" s="32">
        <f t="shared" si="5"/>
        <v>0</v>
      </c>
    </row>
    <row r="33" spans="1:10" s="41" customFormat="1" ht="30" customHeight="1">
      <c r="A33" s="437"/>
      <c r="B33" s="129" t="s">
        <v>85</v>
      </c>
      <c r="C33" s="10">
        <v>410</v>
      </c>
      <c r="D33" s="31">
        <v>0</v>
      </c>
      <c r="E33" s="10">
        <v>1</v>
      </c>
      <c r="F33" s="48">
        <f t="shared" si="2"/>
        <v>0</v>
      </c>
      <c r="G33" s="31"/>
      <c r="H33" s="31">
        <f t="shared" si="3"/>
        <v>0</v>
      </c>
      <c r="I33" s="31">
        <f t="shared" si="4"/>
        <v>0</v>
      </c>
      <c r="J33" s="32">
        <f t="shared" si="5"/>
        <v>0</v>
      </c>
    </row>
    <row r="34" spans="1:10" s="41" customFormat="1" ht="66.75" customHeight="1">
      <c r="A34" s="437"/>
      <c r="B34" s="129" t="s">
        <v>244</v>
      </c>
      <c r="C34" s="10">
        <v>410</v>
      </c>
      <c r="D34" s="31">
        <v>0</v>
      </c>
      <c r="E34" s="10">
        <v>1</v>
      </c>
      <c r="F34" s="48">
        <f t="shared" si="2"/>
        <v>0</v>
      </c>
      <c r="G34" s="31"/>
      <c r="H34" s="31">
        <f>F34*15%</f>
        <v>0</v>
      </c>
      <c r="I34" s="31">
        <f>(F34*16%)+(H34*16%)</f>
        <v>0</v>
      </c>
      <c r="J34" s="32">
        <f t="shared" si="5"/>
        <v>0</v>
      </c>
    </row>
    <row r="35" spans="1:10" s="41" customFormat="1" ht="61.5">
      <c r="A35" s="437"/>
      <c r="B35" s="130" t="s">
        <v>245</v>
      </c>
      <c r="C35" s="43">
        <v>410</v>
      </c>
      <c r="D35" s="63">
        <v>350</v>
      </c>
      <c r="E35" s="43">
        <v>0</v>
      </c>
      <c r="F35" s="54">
        <f t="shared" si="2"/>
        <v>0</v>
      </c>
      <c r="G35" s="63"/>
      <c r="H35" s="63">
        <f>F35*15%</f>
        <v>0</v>
      </c>
      <c r="I35" s="63">
        <f>(F35*16%)+(H35*16%)</f>
        <v>0</v>
      </c>
      <c r="J35" s="64">
        <f t="shared" si="5"/>
        <v>0</v>
      </c>
    </row>
    <row r="36" spans="1:10" s="41" customFormat="1" ht="40.5" customHeight="1">
      <c r="A36" s="437"/>
      <c r="B36" s="42" t="s">
        <v>246</v>
      </c>
      <c r="C36" s="43">
        <v>410</v>
      </c>
      <c r="D36" s="63">
        <v>650</v>
      </c>
      <c r="E36" s="43">
        <v>1</v>
      </c>
      <c r="F36" s="44">
        <f t="shared" si="2"/>
        <v>266500</v>
      </c>
      <c r="G36" s="63"/>
      <c r="H36" s="63">
        <f t="shared" ref="H36" si="6">F36*15%</f>
        <v>39975</v>
      </c>
      <c r="I36" s="63">
        <f t="shared" ref="I36" si="7">(F36*16%)+(H36*16%)</f>
        <v>49036</v>
      </c>
      <c r="J36" s="64">
        <f t="shared" si="5"/>
        <v>355511</v>
      </c>
    </row>
    <row r="37" spans="1:10" s="41" customFormat="1" ht="92.25" customHeight="1">
      <c r="A37" s="437"/>
      <c r="B37" s="131" t="s">
        <v>247</v>
      </c>
      <c r="C37" s="43">
        <v>410</v>
      </c>
      <c r="D37" s="63">
        <v>0</v>
      </c>
      <c r="E37" s="43">
        <v>1</v>
      </c>
      <c r="F37" s="44">
        <f t="shared" si="2"/>
        <v>0</v>
      </c>
      <c r="G37" s="63"/>
      <c r="H37" s="63">
        <f t="shared" si="3"/>
        <v>0</v>
      </c>
      <c r="I37" s="63">
        <f t="shared" si="4"/>
        <v>0</v>
      </c>
      <c r="J37" s="64">
        <f t="shared" si="5"/>
        <v>0</v>
      </c>
    </row>
    <row r="38" spans="1:10" s="41" customFormat="1" ht="18" customHeight="1">
      <c r="A38" s="434" t="s">
        <v>92</v>
      </c>
      <c r="B38" s="128" t="s">
        <v>93</v>
      </c>
      <c r="C38" s="72">
        <v>410</v>
      </c>
      <c r="D38" s="71">
        <v>0</v>
      </c>
      <c r="E38" s="72">
        <v>1</v>
      </c>
      <c r="F38" s="74">
        <f>SUM(C38*D38*E38)</f>
        <v>0</v>
      </c>
      <c r="G38" s="71"/>
      <c r="H38" s="71">
        <f>F38*15%</f>
        <v>0</v>
      </c>
      <c r="I38" s="71">
        <f>(F38*16%)+(H38*16%)</f>
        <v>0</v>
      </c>
      <c r="J38" s="73">
        <f>I38+H38+G38+F38</f>
        <v>0</v>
      </c>
    </row>
    <row r="39" spans="1:10" s="41" customFormat="1" ht="61.5">
      <c r="A39" s="437"/>
      <c r="B39" s="129" t="s">
        <v>248</v>
      </c>
      <c r="C39" s="10">
        <v>410</v>
      </c>
      <c r="D39" s="31">
        <v>0</v>
      </c>
      <c r="E39" s="10">
        <v>1</v>
      </c>
      <c r="F39" s="48">
        <f t="shared" ref="F39:F43" si="8">SUM(C39*D39*E39)</f>
        <v>0</v>
      </c>
      <c r="G39" s="31"/>
      <c r="H39" s="31">
        <f>F39*15%</f>
        <v>0</v>
      </c>
      <c r="I39" s="31">
        <f>(F39*16%)+(H39*16%)</f>
        <v>0</v>
      </c>
      <c r="J39" s="32">
        <f t="shared" ref="J39:J43" si="9">I39+H39+G39+F39</f>
        <v>0</v>
      </c>
    </row>
    <row r="40" spans="1:10" s="41" customFormat="1" ht="49.5">
      <c r="A40" s="437"/>
      <c r="B40" s="130" t="s">
        <v>249</v>
      </c>
      <c r="C40" s="43">
        <v>410</v>
      </c>
      <c r="D40" s="63">
        <v>350</v>
      </c>
      <c r="E40" s="43">
        <v>0</v>
      </c>
      <c r="F40" s="48"/>
      <c r="G40" s="31"/>
      <c r="H40" s="31"/>
      <c r="I40" s="31"/>
      <c r="J40" s="32"/>
    </row>
    <row r="41" spans="1:10" s="41" customFormat="1" ht="24.75">
      <c r="A41" s="437"/>
      <c r="B41" s="129" t="s">
        <v>95</v>
      </c>
      <c r="C41" s="10">
        <v>410</v>
      </c>
      <c r="D41" s="31">
        <v>0</v>
      </c>
      <c r="E41" s="10">
        <v>1</v>
      </c>
      <c r="F41" s="48">
        <f t="shared" ref="F41" si="10">SUM(C41*D41*E41)</f>
        <v>0</v>
      </c>
      <c r="G41" s="31"/>
      <c r="H41" s="31">
        <f t="shared" ref="H41" si="11">F41*15%</f>
        <v>0</v>
      </c>
      <c r="I41" s="31">
        <f t="shared" ref="I41" si="12">(F41*16%)+(H41*16%)</f>
        <v>0</v>
      </c>
      <c r="J41" s="32">
        <f t="shared" ref="J41" si="13">I41+H41+G41+F41</f>
        <v>0</v>
      </c>
    </row>
    <row r="42" spans="1:10" s="41" customFormat="1" ht="49.5">
      <c r="A42" s="437"/>
      <c r="B42" s="130" t="s">
        <v>250</v>
      </c>
      <c r="C42" s="43">
        <v>410</v>
      </c>
      <c r="D42" s="63">
        <v>350</v>
      </c>
      <c r="E42" s="43">
        <v>0</v>
      </c>
      <c r="F42" s="48"/>
      <c r="G42" s="31"/>
      <c r="H42" s="31"/>
      <c r="I42" s="31"/>
      <c r="J42" s="32"/>
    </row>
    <row r="43" spans="1:10" s="41" customFormat="1" ht="36.75">
      <c r="A43" s="437"/>
      <c r="B43" s="131" t="s">
        <v>97</v>
      </c>
      <c r="C43" s="43">
        <v>410</v>
      </c>
      <c r="D43" s="63">
        <v>0</v>
      </c>
      <c r="E43" s="43">
        <v>1</v>
      </c>
      <c r="F43" s="11">
        <f t="shared" si="8"/>
        <v>0</v>
      </c>
      <c r="G43" s="31"/>
      <c r="H43" s="31">
        <f t="shared" ref="H43" si="14">F43*15%</f>
        <v>0</v>
      </c>
      <c r="I43" s="31">
        <f t="shared" ref="I43" si="15">(F43*16%)+(H43*16%)</f>
        <v>0</v>
      </c>
      <c r="J43" s="32">
        <f t="shared" si="9"/>
        <v>0</v>
      </c>
    </row>
    <row r="44" spans="1:10" s="41" customFormat="1">
      <c r="A44" s="434" t="s">
        <v>98</v>
      </c>
      <c r="B44" s="128" t="s">
        <v>93</v>
      </c>
      <c r="C44" s="72">
        <v>410</v>
      </c>
      <c r="D44" s="71">
        <v>0</v>
      </c>
      <c r="E44" s="72"/>
      <c r="F44" s="74">
        <f>SUM(C44*D44*E44)</f>
        <v>0</v>
      </c>
      <c r="G44" s="71"/>
      <c r="H44" s="71">
        <f>F44*15%</f>
        <v>0</v>
      </c>
      <c r="I44" s="71">
        <f>(F44*16%)+(H44*16%)</f>
        <v>0</v>
      </c>
      <c r="J44" s="73">
        <f>I44+H44+G44+F44</f>
        <v>0</v>
      </c>
    </row>
    <row r="45" spans="1:10" s="41" customFormat="1" ht="61.5">
      <c r="A45" s="435"/>
      <c r="B45" s="129" t="s">
        <v>251</v>
      </c>
      <c r="C45" s="10">
        <v>410</v>
      </c>
      <c r="D45" s="31">
        <v>0</v>
      </c>
      <c r="E45" s="10">
        <v>1</v>
      </c>
      <c r="F45" s="11">
        <f t="shared" ref="F45:F48" si="16">SUM(C45*D45*E45)</f>
        <v>0</v>
      </c>
      <c r="G45" s="31"/>
      <c r="H45" s="31">
        <f t="shared" ref="H45:H48" si="17">F45*15%</f>
        <v>0</v>
      </c>
      <c r="I45" s="31">
        <f t="shared" ref="I45:I48" si="18">(F45*16%)+(H45*16%)</f>
        <v>0</v>
      </c>
      <c r="J45" s="32">
        <f t="shared" ref="J45:J48" si="19">I45+H45+G45+F45</f>
        <v>0</v>
      </c>
    </row>
    <row r="46" spans="1:10" s="41" customFormat="1" ht="49.5">
      <c r="A46" s="435"/>
      <c r="B46" s="130" t="s">
        <v>249</v>
      </c>
      <c r="C46" s="43">
        <v>410</v>
      </c>
      <c r="D46" s="63">
        <v>350</v>
      </c>
      <c r="E46" s="43">
        <v>0</v>
      </c>
      <c r="F46" s="11">
        <f t="shared" si="16"/>
        <v>0</v>
      </c>
      <c r="G46" s="31"/>
      <c r="H46" s="31">
        <f t="shared" si="17"/>
        <v>0</v>
      </c>
      <c r="I46" s="31">
        <f t="shared" si="18"/>
        <v>0</v>
      </c>
      <c r="J46" s="32">
        <f t="shared" si="19"/>
        <v>0</v>
      </c>
    </row>
    <row r="47" spans="1:10" s="41" customFormat="1" ht="24.75">
      <c r="A47" s="435"/>
      <c r="B47" s="129" t="s">
        <v>85</v>
      </c>
      <c r="C47" s="10">
        <v>410</v>
      </c>
      <c r="D47" s="31">
        <v>0</v>
      </c>
      <c r="E47" s="10">
        <v>1</v>
      </c>
      <c r="F47" s="11">
        <f t="shared" si="16"/>
        <v>0</v>
      </c>
      <c r="G47" s="31"/>
      <c r="H47" s="31">
        <f t="shared" si="17"/>
        <v>0</v>
      </c>
      <c r="I47" s="31">
        <f t="shared" si="18"/>
        <v>0</v>
      </c>
      <c r="J47" s="32">
        <f t="shared" si="19"/>
        <v>0</v>
      </c>
    </row>
    <row r="48" spans="1:10" s="41" customFormat="1" ht="77.25" customHeight="1">
      <c r="A48" s="435"/>
      <c r="B48" s="129" t="s">
        <v>252</v>
      </c>
      <c r="C48" s="10">
        <v>410</v>
      </c>
      <c r="D48" s="31">
        <v>0</v>
      </c>
      <c r="E48" s="10">
        <v>1</v>
      </c>
      <c r="F48" s="11">
        <f t="shared" si="16"/>
        <v>0</v>
      </c>
      <c r="G48" s="31"/>
      <c r="H48" s="31">
        <f t="shared" si="17"/>
        <v>0</v>
      </c>
      <c r="I48" s="31">
        <f t="shared" si="18"/>
        <v>0</v>
      </c>
      <c r="J48" s="32">
        <f t="shared" si="19"/>
        <v>0</v>
      </c>
    </row>
    <row r="49" spans="1:10" s="41" customFormat="1">
      <c r="A49" s="75" t="s">
        <v>101</v>
      </c>
      <c r="B49" s="127" t="s">
        <v>93</v>
      </c>
      <c r="C49" s="57">
        <v>410</v>
      </c>
      <c r="D49" s="58">
        <v>0</v>
      </c>
      <c r="E49" s="57">
        <v>1</v>
      </c>
      <c r="F49" s="59">
        <f>SUM(C49*D49*E49)</f>
        <v>0</v>
      </c>
      <c r="G49" s="58"/>
      <c r="H49" s="58">
        <f>F49*15%</f>
        <v>0</v>
      </c>
      <c r="I49" s="58">
        <f>(F49*16%)+(H49*16%)</f>
        <v>0</v>
      </c>
      <c r="J49" s="60">
        <f>I49+H49+G49+F49</f>
        <v>0</v>
      </c>
    </row>
    <row r="50" spans="1:10">
      <c r="A50" s="18"/>
      <c r="B50" s="19" t="s">
        <v>78</v>
      </c>
      <c r="C50" s="20"/>
      <c r="D50" s="21"/>
      <c r="E50" s="20"/>
      <c r="F50" s="22">
        <f>SUM(F30:F49)</f>
        <v>266500</v>
      </c>
      <c r="G50" s="22">
        <f>SUM(G30:G49)</f>
        <v>0</v>
      </c>
      <c r="H50" s="22">
        <f>SUM(H30:H49)</f>
        <v>39975</v>
      </c>
      <c r="I50" s="22">
        <f>SUM(I30:I49)</f>
        <v>49036</v>
      </c>
      <c r="J50" s="22">
        <f>SUM(J30:J49)</f>
        <v>355511</v>
      </c>
    </row>
    <row r="51" spans="1:10">
      <c r="A51" s="23"/>
      <c r="B51" s="28" t="s">
        <v>102</v>
      </c>
      <c r="C51" s="82"/>
      <c r="D51" s="83"/>
      <c r="E51" s="82"/>
      <c r="F51" s="83">
        <f>F50</f>
        <v>266500</v>
      </c>
      <c r="G51" s="83">
        <f t="shared" ref="G51:J51" si="20">G50</f>
        <v>0</v>
      </c>
      <c r="H51" s="83">
        <f t="shared" si="20"/>
        <v>39975</v>
      </c>
      <c r="I51" s="83">
        <f t="shared" si="20"/>
        <v>49036</v>
      </c>
      <c r="J51" s="83">
        <f t="shared" si="20"/>
        <v>355511</v>
      </c>
    </row>
    <row r="52" spans="1:10">
      <c r="A52" s="18"/>
      <c r="B52" s="29"/>
      <c r="C52" s="20"/>
      <c r="D52" s="21"/>
      <c r="E52" s="20"/>
      <c r="F52" s="30"/>
      <c r="G52" s="30"/>
      <c r="H52" s="30"/>
      <c r="I52" s="30"/>
      <c r="J52" s="30"/>
    </row>
    <row r="53" spans="1:10">
      <c r="A53" s="18"/>
      <c r="B53" s="29"/>
      <c r="C53" s="20"/>
      <c r="D53" s="21"/>
      <c r="E53" s="20"/>
      <c r="F53" s="30"/>
      <c r="G53" s="30"/>
      <c r="H53" s="30"/>
      <c r="I53" s="30"/>
      <c r="J53" s="30"/>
    </row>
    <row r="54" spans="1:10">
      <c r="A54" s="431" t="s">
        <v>103</v>
      </c>
      <c r="B54" s="432"/>
      <c r="C54" s="7"/>
      <c r="D54" s="7"/>
      <c r="E54" s="7"/>
      <c r="F54" s="7"/>
      <c r="G54" s="7"/>
      <c r="H54" s="7"/>
      <c r="I54" s="7"/>
      <c r="J54" s="7"/>
    </row>
    <row r="55" spans="1:10">
      <c r="A55" s="84" t="s">
        <v>62</v>
      </c>
      <c r="B55" s="79" t="s">
        <v>13</v>
      </c>
      <c r="C55" s="80" t="s">
        <v>63</v>
      </c>
      <c r="D55" s="80" t="s">
        <v>64</v>
      </c>
      <c r="E55" s="80" t="s">
        <v>65</v>
      </c>
      <c r="F55" s="80" t="s">
        <v>66</v>
      </c>
      <c r="G55" s="80" t="s">
        <v>27</v>
      </c>
      <c r="H55" s="80" t="s">
        <v>68</v>
      </c>
      <c r="I55" s="80" t="s">
        <v>69</v>
      </c>
      <c r="J55" s="8" t="s">
        <v>70</v>
      </c>
    </row>
    <row r="56" spans="1:10">
      <c r="A56" s="427"/>
      <c r="B56" s="70" t="s">
        <v>104</v>
      </c>
      <c r="C56" s="72">
        <v>12</v>
      </c>
      <c r="D56" s="71">
        <v>2096</v>
      </c>
      <c r="E56" s="72">
        <v>1</v>
      </c>
      <c r="F56" s="71">
        <v>25152</v>
      </c>
      <c r="G56" s="71"/>
      <c r="H56" s="71">
        <v>1509.12</v>
      </c>
      <c r="I56" s="71">
        <v>4024.32</v>
      </c>
      <c r="J56" s="73">
        <v>30685.440000000002</v>
      </c>
    </row>
    <row r="57" spans="1:10">
      <c r="A57" s="428"/>
      <c r="B57" s="9" t="s">
        <v>105</v>
      </c>
      <c r="C57" s="10">
        <v>15</v>
      </c>
      <c r="D57" s="31">
        <v>3137</v>
      </c>
      <c r="E57" s="10">
        <v>1</v>
      </c>
      <c r="F57" s="31">
        <v>47055</v>
      </c>
      <c r="G57" s="31"/>
      <c r="H57" s="31">
        <v>2823.2999999999997</v>
      </c>
      <c r="I57" s="31">
        <v>7528.8</v>
      </c>
      <c r="J57" s="32">
        <v>57407.1</v>
      </c>
    </row>
    <row r="58" spans="1:10">
      <c r="A58" s="428"/>
      <c r="B58" s="9" t="s">
        <v>106</v>
      </c>
      <c r="C58" s="10">
        <v>1</v>
      </c>
      <c r="D58" s="31">
        <v>17205</v>
      </c>
      <c r="E58" s="10">
        <v>1</v>
      </c>
      <c r="F58" s="31">
        <v>17205</v>
      </c>
      <c r="G58" s="31"/>
      <c r="H58" s="31">
        <v>1032.3</v>
      </c>
      <c r="I58" s="31">
        <v>2752.8</v>
      </c>
      <c r="J58" s="32">
        <v>20990.1</v>
      </c>
    </row>
    <row r="59" spans="1:10">
      <c r="A59" s="428"/>
      <c r="B59" s="9" t="s">
        <v>107</v>
      </c>
      <c r="C59" s="10">
        <v>1</v>
      </c>
      <c r="D59" s="31">
        <v>18901</v>
      </c>
      <c r="E59" s="10">
        <v>1</v>
      </c>
      <c r="F59" s="31">
        <v>18901</v>
      </c>
      <c r="G59" s="31"/>
      <c r="H59" s="31">
        <v>1134.06</v>
      </c>
      <c r="I59" s="31">
        <v>3024.16</v>
      </c>
      <c r="J59" s="32">
        <v>23059.22</v>
      </c>
    </row>
    <row r="60" spans="1:10">
      <c r="A60" s="428"/>
      <c r="B60" s="42" t="s">
        <v>108</v>
      </c>
      <c r="C60" s="10">
        <v>1</v>
      </c>
      <c r="D60" s="63">
        <v>21011</v>
      </c>
      <c r="E60" s="10">
        <v>1</v>
      </c>
      <c r="F60" s="31">
        <v>21011</v>
      </c>
      <c r="G60" s="31"/>
      <c r="H60" s="31">
        <v>1260.6599999999999</v>
      </c>
      <c r="I60" s="31">
        <v>3361.76</v>
      </c>
      <c r="J60" s="32">
        <v>25633.42</v>
      </c>
    </row>
    <row r="61" spans="1:10">
      <c r="A61" s="428"/>
      <c r="B61" s="42" t="s">
        <v>109</v>
      </c>
      <c r="C61" s="10">
        <v>9</v>
      </c>
      <c r="D61" s="63">
        <v>2096</v>
      </c>
      <c r="E61" s="10">
        <v>1</v>
      </c>
      <c r="F61" s="31">
        <v>18864</v>
      </c>
      <c r="G61" s="31"/>
      <c r="H61" s="31">
        <v>1131.8399999999999</v>
      </c>
      <c r="I61" s="31">
        <v>3018.2400000000002</v>
      </c>
      <c r="J61" s="32">
        <v>23014.080000000002</v>
      </c>
    </row>
    <row r="62" spans="1:10">
      <c r="A62" s="429"/>
      <c r="B62" s="14" t="s">
        <v>110</v>
      </c>
      <c r="C62" s="15">
        <v>17</v>
      </c>
      <c r="D62" s="33">
        <v>3137</v>
      </c>
      <c r="E62" s="15">
        <v>1</v>
      </c>
      <c r="F62" s="33">
        <v>53329</v>
      </c>
      <c r="G62" s="33"/>
      <c r="H62" s="33">
        <v>3199.74</v>
      </c>
      <c r="I62" s="33">
        <v>8532.64</v>
      </c>
      <c r="J62" s="34">
        <v>65061.38</v>
      </c>
    </row>
    <row r="63" spans="1:10">
      <c r="A63" s="427"/>
      <c r="B63" s="77" t="s">
        <v>111</v>
      </c>
      <c r="C63" s="72">
        <v>1</v>
      </c>
      <c r="D63" s="71">
        <v>18901</v>
      </c>
      <c r="E63" s="72">
        <v>1</v>
      </c>
      <c r="F63" s="71">
        <v>18901</v>
      </c>
      <c r="G63" s="71"/>
      <c r="H63" s="71">
        <v>1134.06</v>
      </c>
      <c r="I63" s="71">
        <v>3024.16</v>
      </c>
      <c r="J63" s="73">
        <v>23059.22</v>
      </c>
    </row>
    <row r="64" spans="1:10">
      <c r="A64" s="429"/>
      <c r="B64" s="76" t="s">
        <v>112</v>
      </c>
      <c r="C64" s="57">
        <v>2</v>
      </c>
      <c r="D64" s="58">
        <v>21011</v>
      </c>
      <c r="E64" s="57">
        <v>1</v>
      </c>
      <c r="F64" s="58">
        <v>42022</v>
      </c>
      <c r="G64" s="58"/>
      <c r="H64" s="58">
        <v>2521.3199999999997</v>
      </c>
      <c r="I64" s="58">
        <v>6723.52</v>
      </c>
      <c r="J64" s="60">
        <v>51266.84</v>
      </c>
    </row>
    <row r="65" spans="1:14">
      <c r="A65" s="18"/>
      <c r="B65" s="19" t="s">
        <v>78</v>
      </c>
      <c r="C65" s="20"/>
      <c r="D65" s="21"/>
      <c r="E65" s="20"/>
      <c r="F65" s="27">
        <f>SUM(F56:F64)</f>
        <v>262440</v>
      </c>
      <c r="G65" s="27">
        <f t="shared" ref="G65:J65" si="21">SUM(G56:G64)</f>
        <v>0</v>
      </c>
      <c r="H65" s="27">
        <f t="shared" si="21"/>
        <v>15746.4</v>
      </c>
      <c r="I65" s="27">
        <f t="shared" si="21"/>
        <v>41990.400000000009</v>
      </c>
      <c r="J65" s="27">
        <f t="shared" si="21"/>
        <v>320176.80000000005</v>
      </c>
    </row>
    <row r="66" spans="1:14">
      <c r="A66" s="23"/>
      <c r="B66" s="28" t="s">
        <v>113</v>
      </c>
      <c r="C66" s="82"/>
      <c r="D66" s="83"/>
      <c r="E66" s="82"/>
      <c r="F66" s="83">
        <f>F65</f>
        <v>262440</v>
      </c>
      <c r="G66" s="83">
        <f t="shared" ref="G66:J66" si="22">G65</f>
        <v>0</v>
      </c>
      <c r="H66" s="83">
        <f t="shared" si="22"/>
        <v>15746.4</v>
      </c>
      <c r="I66" s="83">
        <f t="shared" si="22"/>
        <v>41990.400000000009</v>
      </c>
      <c r="J66" s="37">
        <f t="shared" si="22"/>
        <v>320176.80000000005</v>
      </c>
    </row>
    <row r="67" spans="1:14">
      <c r="A67" s="23"/>
      <c r="B67" s="29"/>
      <c r="C67" s="20"/>
      <c r="D67" s="30"/>
      <c r="E67" s="20"/>
      <c r="F67" s="30"/>
      <c r="G67" s="30"/>
      <c r="H67" s="30"/>
      <c r="I67" s="30"/>
      <c r="J67" s="30"/>
    </row>
    <row r="68" spans="1:14">
      <c r="A68" s="431" t="s">
        <v>114</v>
      </c>
      <c r="B68" s="432"/>
      <c r="C68" s="7"/>
      <c r="D68" s="7"/>
      <c r="E68" s="7"/>
      <c r="F68" s="7"/>
      <c r="G68" s="7"/>
      <c r="H68" s="7"/>
      <c r="I68" s="7"/>
      <c r="J68" s="7"/>
    </row>
    <row r="69" spans="1:14">
      <c r="A69" s="66" t="s">
        <v>62</v>
      </c>
      <c r="B69" s="67" t="s">
        <v>13</v>
      </c>
      <c r="C69" s="68" t="s">
        <v>63</v>
      </c>
      <c r="D69" s="68" t="s">
        <v>64</v>
      </c>
      <c r="E69" s="68" t="s">
        <v>65</v>
      </c>
      <c r="F69" s="68" t="s">
        <v>66</v>
      </c>
      <c r="G69" s="68" t="s">
        <v>27</v>
      </c>
      <c r="H69" s="68" t="s">
        <v>68</v>
      </c>
      <c r="I69" s="68" t="s">
        <v>69</v>
      </c>
      <c r="J69" s="69" t="s">
        <v>70</v>
      </c>
    </row>
    <row r="70" spans="1:14" s="41" customFormat="1">
      <c r="A70" s="50"/>
      <c r="B70" s="42"/>
      <c r="C70" s="43"/>
      <c r="D70" s="63"/>
      <c r="E70" s="43"/>
      <c r="F70" s="63"/>
      <c r="G70" s="63"/>
      <c r="H70" s="63"/>
      <c r="I70" s="63"/>
      <c r="J70" s="64"/>
    </row>
    <row r="71" spans="1:14" s="41" customFormat="1">
      <c r="A71" s="13"/>
      <c r="B71" s="14"/>
      <c r="C71" s="15"/>
      <c r="D71" s="33"/>
      <c r="E71" s="15"/>
      <c r="F71" s="33">
        <f t="shared" ref="F71" si="23">E71+D71+C71</f>
        <v>0</v>
      </c>
      <c r="G71" s="33"/>
      <c r="H71" s="33"/>
      <c r="I71" s="33">
        <f t="shared" ref="I71" si="24">F71*16%</f>
        <v>0</v>
      </c>
      <c r="J71" s="34">
        <f t="shared" ref="J71" si="25">I71+H71+G71+F71</f>
        <v>0</v>
      </c>
    </row>
    <row r="72" spans="1:14">
      <c r="A72" s="18"/>
      <c r="B72" s="19" t="s">
        <v>78</v>
      </c>
      <c r="C72" s="20"/>
      <c r="D72" s="21"/>
      <c r="E72" s="20"/>
      <c r="F72" s="22">
        <f>SUM(F70:F71)</f>
        <v>0</v>
      </c>
      <c r="G72" s="22">
        <f>SUM(G70:G71)</f>
        <v>0</v>
      </c>
      <c r="H72" s="22">
        <f>SUM(H70:H71)</f>
        <v>0</v>
      </c>
      <c r="I72" s="22">
        <f>SUM(I70:I71)</f>
        <v>0</v>
      </c>
      <c r="J72" s="22">
        <f>SUM(J70:J71)</f>
        <v>0</v>
      </c>
    </row>
    <row r="73" spans="1:14">
      <c r="A73" s="23"/>
      <c r="B73" s="28" t="s">
        <v>173</v>
      </c>
      <c r="C73" s="82"/>
      <c r="D73" s="83"/>
      <c r="E73" s="82"/>
      <c r="F73" s="83">
        <f>SUM(F72)</f>
        <v>0</v>
      </c>
      <c r="G73" s="83">
        <f t="shared" ref="G73:J73" si="26">SUM(G72)</f>
        <v>0</v>
      </c>
      <c r="H73" s="83">
        <f t="shared" si="26"/>
        <v>0</v>
      </c>
      <c r="I73" s="83">
        <f t="shared" si="26"/>
        <v>0</v>
      </c>
      <c r="J73" s="83">
        <f t="shared" si="26"/>
        <v>0</v>
      </c>
    </row>
    <row r="74" spans="1:14">
      <c r="A74" s="23"/>
      <c r="B74" s="29"/>
      <c r="C74" s="20"/>
      <c r="D74" s="30"/>
      <c r="E74" s="20"/>
      <c r="F74" s="30"/>
      <c r="G74" s="30"/>
      <c r="H74" s="30"/>
      <c r="I74" s="30"/>
      <c r="J74" s="30"/>
      <c r="N74" t="s">
        <v>116</v>
      </c>
    </row>
    <row r="75" spans="1:14">
      <c r="A75" s="431" t="s">
        <v>117</v>
      </c>
      <c r="B75" s="432"/>
      <c r="C75" s="7"/>
      <c r="D75" s="7"/>
      <c r="E75" s="7"/>
      <c r="F75" s="7"/>
      <c r="G75" s="7"/>
      <c r="H75" s="7"/>
      <c r="I75" s="7"/>
      <c r="J75" s="7"/>
    </row>
    <row r="76" spans="1:14">
      <c r="A76" s="78" t="s">
        <v>62</v>
      </c>
      <c r="B76" s="79" t="s">
        <v>13</v>
      </c>
      <c r="C76" s="80" t="s">
        <v>63</v>
      </c>
      <c r="D76" s="80" t="s">
        <v>64</v>
      </c>
      <c r="E76" s="80" t="s">
        <v>65</v>
      </c>
      <c r="F76" s="80" t="s">
        <v>66</v>
      </c>
      <c r="G76" s="80" t="s">
        <v>27</v>
      </c>
      <c r="H76" s="80" t="s">
        <v>68</v>
      </c>
      <c r="I76" s="80" t="s">
        <v>69</v>
      </c>
      <c r="J76" s="8" t="s">
        <v>70</v>
      </c>
      <c r="N76" t="s">
        <v>116</v>
      </c>
    </row>
    <row r="77" spans="1:14" s="41" customFormat="1" ht="24.75">
      <c r="A77" s="427" t="s">
        <v>74</v>
      </c>
      <c r="B77" s="70" t="s">
        <v>118</v>
      </c>
      <c r="C77" s="72">
        <v>410</v>
      </c>
      <c r="D77" s="74">
        <v>100</v>
      </c>
      <c r="E77" s="72">
        <v>0</v>
      </c>
      <c r="F77" s="71">
        <f t="shared" ref="F77:F89" si="27">SUM(C77*D77*E77)</f>
        <v>0</v>
      </c>
      <c r="G77" s="71"/>
      <c r="H77" s="71"/>
      <c r="I77" s="71">
        <f>F77*16%</f>
        <v>0</v>
      </c>
      <c r="J77" s="73">
        <f>I77+H77+G77+F77</f>
        <v>0</v>
      </c>
    </row>
    <row r="78" spans="1:14" s="41" customFormat="1" ht="25.5">
      <c r="A78" s="428"/>
      <c r="B78" s="266" t="s">
        <v>253</v>
      </c>
      <c r="C78" s="10">
        <v>1</v>
      </c>
      <c r="D78" s="31">
        <v>0</v>
      </c>
      <c r="E78" s="10">
        <v>0</v>
      </c>
      <c r="F78" s="31">
        <f>SUM(C78*D78*E78)</f>
        <v>0</v>
      </c>
      <c r="G78" s="31"/>
      <c r="H78" s="31"/>
      <c r="I78" s="31">
        <f>F78*16%</f>
        <v>0</v>
      </c>
      <c r="J78" s="32">
        <f>I78+H78+G78+F78</f>
        <v>0</v>
      </c>
    </row>
    <row r="79" spans="1:14" s="41" customFormat="1" ht="62.45" customHeight="1">
      <c r="A79" s="93" t="s">
        <v>125</v>
      </c>
      <c r="B79" s="127" t="s">
        <v>254</v>
      </c>
      <c r="C79" s="94">
        <v>1</v>
      </c>
      <c r="D79" s="95">
        <v>0</v>
      </c>
      <c r="E79" s="94">
        <v>1</v>
      </c>
      <c r="F79" s="96">
        <f t="shared" si="27"/>
        <v>0</v>
      </c>
      <c r="G79" s="96"/>
      <c r="H79" s="96"/>
      <c r="I79" s="96">
        <f t="shared" ref="I79:I89" si="28">F79*16%</f>
        <v>0</v>
      </c>
      <c r="J79" s="97">
        <f t="shared" ref="J79:J89" si="29">I79+H79+G79+F79</f>
        <v>0</v>
      </c>
    </row>
    <row r="80" spans="1:14" s="41" customFormat="1" ht="24.75">
      <c r="A80" s="91" t="s">
        <v>92</v>
      </c>
      <c r="B80" s="141" t="s">
        <v>255</v>
      </c>
      <c r="C80" s="52">
        <v>1</v>
      </c>
      <c r="D80" s="54">
        <v>0</v>
      </c>
      <c r="E80" s="52">
        <v>1</v>
      </c>
      <c r="F80" s="53">
        <f t="shared" si="27"/>
        <v>0</v>
      </c>
      <c r="G80" s="53"/>
      <c r="H80" s="53"/>
      <c r="I80" s="53">
        <f t="shared" si="28"/>
        <v>0</v>
      </c>
      <c r="J80" s="55">
        <f t="shared" si="29"/>
        <v>0</v>
      </c>
    </row>
    <row r="81" spans="1:10" s="41" customFormat="1" ht="49.5" customHeight="1">
      <c r="A81" s="456" t="s">
        <v>127</v>
      </c>
      <c r="B81" s="142" t="s">
        <v>256</v>
      </c>
      <c r="C81" s="143">
        <v>1</v>
      </c>
      <c r="D81" s="144">
        <v>0</v>
      </c>
      <c r="E81" s="143">
        <v>3</v>
      </c>
      <c r="F81" s="145">
        <f t="shared" si="27"/>
        <v>0</v>
      </c>
      <c r="G81" s="145"/>
      <c r="H81" s="145"/>
      <c r="I81" s="145">
        <f t="shared" si="28"/>
        <v>0</v>
      </c>
      <c r="J81" s="146">
        <f t="shared" si="29"/>
        <v>0</v>
      </c>
    </row>
    <row r="82" spans="1:10" s="41" customFormat="1" ht="36.75">
      <c r="A82" s="457"/>
      <c r="B82" s="137" t="s">
        <v>257</v>
      </c>
      <c r="C82" s="138">
        <v>1</v>
      </c>
      <c r="D82" s="139">
        <v>0</v>
      </c>
      <c r="E82" s="138">
        <v>3</v>
      </c>
      <c r="F82" s="140">
        <f t="shared" si="27"/>
        <v>0</v>
      </c>
      <c r="G82" s="140"/>
      <c r="H82" s="140"/>
      <c r="I82" s="140">
        <f t="shared" si="28"/>
        <v>0</v>
      </c>
      <c r="J82" s="147">
        <f t="shared" si="29"/>
        <v>0</v>
      </c>
    </row>
    <row r="83" spans="1:10" s="41" customFormat="1" ht="36.75">
      <c r="A83" s="457"/>
      <c r="B83" s="137" t="s">
        <v>258</v>
      </c>
      <c r="C83" s="138">
        <v>1</v>
      </c>
      <c r="D83" s="139">
        <v>0</v>
      </c>
      <c r="E83" s="138">
        <v>3</v>
      </c>
      <c r="F83" s="140">
        <f t="shared" si="27"/>
        <v>0</v>
      </c>
      <c r="G83" s="140"/>
      <c r="H83" s="140"/>
      <c r="I83" s="140">
        <f t="shared" si="28"/>
        <v>0</v>
      </c>
      <c r="J83" s="147">
        <f t="shared" si="29"/>
        <v>0</v>
      </c>
    </row>
    <row r="84" spans="1:10" s="41" customFormat="1" ht="36.75">
      <c r="A84" s="457"/>
      <c r="B84" s="137" t="s">
        <v>259</v>
      </c>
      <c r="C84" s="138">
        <v>1</v>
      </c>
      <c r="D84" s="139">
        <v>0</v>
      </c>
      <c r="E84" s="138">
        <v>3</v>
      </c>
      <c r="F84" s="140">
        <f t="shared" si="27"/>
        <v>0</v>
      </c>
      <c r="G84" s="140"/>
      <c r="H84" s="140"/>
      <c r="I84" s="140">
        <f t="shared" si="28"/>
        <v>0</v>
      </c>
      <c r="J84" s="147">
        <f t="shared" si="29"/>
        <v>0</v>
      </c>
    </row>
    <row r="85" spans="1:10" s="41" customFormat="1" ht="36.75">
      <c r="A85" s="457"/>
      <c r="B85" s="137" t="s">
        <v>260</v>
      </c>
      <c r="C85" s="138">
        <v>1</v>
      </c>
      <c r="D85" s="139">
        <v>0</v>
      </c>
      <c r="E85" s="138">
        <v>3</v>
      </c>
      <c r="F85" s="140">
        <f t="shared" si="27"/>
        <v>0</v>
      </c>
      <c r="G85" s="140"/>
      <c r="H85" s="140"/>
      <c r="I85" s="140">
        <f t="shared" si="28"/>
        <v>0</v>
      </c>
      <c r="J85" s="147">
        <f t="shared" si="29"/>
        <v>0</v>
      </c>
    </row>
    <row r="86" spans="1:10" s="41" customFormat="1" ht="36.75">
      <c r="A86" s="457"/>
      <c r="B86" s="137" t="s">
        <v>261</v>
      </c>
      <c r="C86" s="138">
        <v>1</v>
      </c>
      <c r="D86" s="139">
        <v>0</v>
      </c>
      <c r="E86" s="138">
        <v>3</v>
      </c>
      <c r="F86" s="140">
        <f t="shared" si="27"/>
        <v>0</v>
      </c>
      <c r="G86" s="140"/>
      <c r="H86" s="140"/>
      <c r="I86" s="140">
        <f t="shared" si="28"/>
        <v>0</v>
      </c>
      <c r="J86" s="147">
        <f t="shared" si="29"/>
        <v>0</v>
      </c>
    </row>
    <row r="87" spans="1:10" s="41" customFormat="1" ht="36.75">
      <c r="A87" s="457"/>
      <c r="B87" s="137" t="s">
        <v>262</v>
      </c>
      <c r="C87" s="138">
        <v>1</v>
      </c>
      <c r="D87" s="139">
        <v>0</v>
      </c>
      <c r="E87" s="138">
        <v>3</v>
      </c>
      <c r="F87" s="140">
        <f t="shared" ref="F87" si="30">SUM(C87*D87*E87)</f>
        <v>0</v>
      </c>
      <c r="G87" s="140"/>
      <c r="H87" s="140"/>
      <c r="I87" s="140">
        <f t="shared" ref="I87" si="31">F87*16%</f>
        <v>0</v>
      </c>
      <c r="J87" s="147">
        <f t="shared" ref="J87" si="32">I87+H87+G87+F87</f>
        <v>0</v>
      </c>
    </row>
    <row r="88" spans="1:10" s="41" customFormat="1" ht="36.75">
      <c r="A88" s="457"/>
      <c r="B88" s="137" t="s">
        <v>263</v>
      </c>
      <c r="C88" s="138">
        <v>1</v>
      </c>
      <c r="D88" s="139">
        <v>0</v>
      </c>
      <c r="E88" s="138">
        <v>3</v>
      </c>
      <c r="F88" s="140">
        <f t="shared" ref="F88" si="33">SUM(C88*D88*E88)</f>
        <v>0</v>
      </c>
      <c r="G88" s="140"/>
      <c r="H88" s="140"/>
      <c r="I88" s="140">
        <f t="shared" ref="I88" si="34">F88*16%</f>
        <v>0</v>
      </c>
      <c r="J88" s="147">
        <f t="shared" ref="J88" si="35">I88+H88+G88+F88</f>
        <v>0</v>
      </c>
    </row>
    <row r="89" spans="1:10" s="41" customFormat="1" ht="41.25" customHeight="1">
      <c r="A89" s="458"/>
      <c r="B89" s="148" t="s">
        <v>264</v>
      </c>
      <c r="C89" s="149">
        <v>1</v>
      </c>
      <c r="D89" s="150">
        <v>0</v>
      </c>
      <c r="E89" s="149">
        <v>3</v>
      </c>
      <c r="F89" s="151">
        <f t="shared" si="27"/>
        <v>0</v>
      </c>
      <c r="G89" s="151"/>
      <c r="H89" s="151"/>
      <c r="I89" s="151">
        <f t="shared" si="28"/>
        <v>0</v>
      </c>
      <c r="J89" s="152">
        <f t="shared" si="29"/>
        <v>0</v>
      </c>
    </row>
    <row r="90" spans="1:10">
      <c r="A90" s="18"/>
      <c r="B90" s="19" t="s">
        <v>78</v>
      </c>
      <c r="C90" s="20"/>
      <c r="D90" s="21"/>
      <c r="E90" s="20"/>
      <c r="F90" s="38">
        <f>SUM(F77:F89)</f>
        <v>0</v>
      </c>
      <c r="G90" s="38">
        <f>SUM(G77:G89)</f>
        <v>0</v>
      </c>
      <c r="H90" s="38">
        <f>SUM(H77:H89)</f>
        <v>0</v>
      </c>
      <c r="I90" s="38">
        <f>SUM(I77:I89)</f>
        <v>0</v>
      </c>
      <c r="J90" s="38">
        <f>SUM(J77:J89)</f>
        <v>0</v>
      </c>
    </row>
    <row r="91" spans="1:10">
      <c r="A91" s="23"/>
      <c r="B91" s="28" t="s">
        <v>135</v>
      </c>
      <c r="C91" s="82"/>
      <c r="D91" s="83"/>
      <c r="E91" s="82"/>
      <c r="F91" s="83">
        <f>F90</f>
        <v>0</v>
      </c>
      <c r="G91" s="83">
        <f>G90</f>
        <v>0</v>
      </c>
      <c r="H91" s="83">
        <f>H90</f>
        <v>0</v>
      </c>
      <c r="I91" s="83">
        <f>I90</f>
        <v>0</v>
      </c>
      <c r="J91" s="37">
        <f>J90</f>
        <v>0</v>
      </c>
    </row>
    <row r="92" spans="1:10">
      <c r="A92" s="23"/>
      <c r="B92" s="29"/>
      <c r="C92" s="20"/>
      <c r="D92" s="30"/>
      <c r="E92" s="20"/>
      <c r="F92" s="30"/>
      <c r="G92" s="30"/>
      <c r="H92" s="30"/>
      <c r="I92" s="30"/>
      <c r="J92" s="30"/>
    </row>
    <row r="93" spans="1:10">
      <c r="A93" s="431" t="s">
        <v>136</v>
      </c>
      <c r="B93" s="432"/>
      <c r="C93" s="7"/>
      <c r="D93" s="7"/>
      <c r="E93" s="7"/>
      <c r="F93" s="7"/>
      <c r="G93" s="7"/>
      <c r="H93" s="7"/>
      <c r="I93" s="7"/>
      <c r="J93" s="7"/>
    </row>
    <row r="94" spans="1:10">
      <c r="A94" s="78" t="s">
        <v>62</v>
      </c>
      <c r="B94" s="79" t="s">
        <v>13</v>
      </c>
      <c r="C94" s="80" t="s">
        <v>63</v>
      </c>
      <c r="D94" s="80" t="s">
        <v>64</v>
      </c>
      <c r="E94" s="80" t="s">
        <v>65</v>
      </c>
      <c r="F94" s="80" t="s">
        <v>66</v>
      </c>
      <c r="G94" s="80" t="s">
        <v>27</v>
      </c>
      <c r="H94" s="80" t="s">
        <v>68</v>
      </c>
      <c r="I94" s="80" t="s">
        <v>69</v>
      </c>
      <c r="J94" s="8" t="s">
        <v>70</v>
      </c>
    </row>
    <row r="95" spans="1:10" s="41" customFormat="1" ht="24.75">
      <c r="A95" s="434" t="s">
        <v>137</v>
      </c>
      <c r="B95" s="70" t="s">
        <v>138</v>
      </c>
      <c r="C95" s="72">
        <v>4</v>
      </c>
      <c r="D95" s="74">
        <v>21741.4</v>
      </c>
      <c r="E95" s="72">
        <v>3</v>
      </c>
      <c r="F95" s="74">
        <f>SUM(C95*D95*E95)</f>
        <v>260896.80000000002</v>
      </c>
      <c r="G95" s="74">
        <f>0*C95*E95</f>
        <v>0</v>
      </c>
      <c r="H95" s="74">
        <f>0*C95*E95</f>
        <v>0</v>
      </c>
      <c r="I95" s="74">
        <f>F95*16%</f>
        <v>41743.488000000005</v>
      </c>
      <c r="J95" s="81">
        <f t="shared" ref="J95" si="36">I95+H95+G95+F95</f>
        <v>302640.288</v>
      </c>
    </row>
    <row r="96" spans="1:10" s="41" customFormat="1" ht="24.75">
      <c r="A96" s="435"/>
      <c r="B96" s="70" t="s">
        <v>139</v>
      </c>
      <c r="C96" s="72">
        <v>1</v>
      </c>
      <c r="D96" s="74">
        <v>21741.4</v>
      </c>
      <c r="E96" s="72">
        <v>3</v>
      </c>
      <c r="F96" s="74">
        <f>SUM(C96*D96*E96)</f>
        <v>65224.200000000004</v>
      </c>
      <c r="G96" s="74">
        <f>0*C96*E96</f>
        <v>0</v>
      </c>
      <c r="H96" s="74">
        <f>0*C96*E96</f>
        <v>0</v>
      </c>
      <c r="I96" s="74">
        <f>F96*16%</f>
        <v>10435.872000000001</v>
      </c>
      <c r="J96" s="81">
        <f t="shared" ref="J96" si="37">I96+H96+G96+F96</f>
        <v>75660.072</v>
      </c>
    </row>
    <row r="97" spans="1:10" s="41" customFormat="1">
      <c r="A97" s="435"/>
      <c r="B97" s="528" t="s">
        <v>140</v>
      </c>
      <c r="C97" s="529">
        <v>10</v>
      </c>
      <c r="D97" s="530">
        <v>6046</v>
      </c>
      <c r="E97" s="529">
        <v>1</v>
      </c>
      <c r="F97" s="530">
        <f>SUM(C97*D97*E97)</f>
        <v>60460</v>
      </c>
      <c r="G97" s="530">
        <v>0</v>
      </c>
      <c r="H97" s="530">
        <f>2355*C97</f>
        <v>23550</v>
      </c>
      <c r="I97" s="530">
        <f>968*C97</f>
        <v>9680</v>
      </c>
      <c r="J97" s="530">
        <f>I97+H97+G97+F97</f>
        <v>93690</v>
      </c>
    </row>
    <row r="98" spans="1:10" s="41" customFormat="1">
      <c r="A98" s="437"/>
      <c r="B98" s="528" t="s">
        <v>141</v>
      </c>
      <c r="C98" s="529">
        <v>10</v>
      </c>
      <c r="D98" s="530">
        <v>230</v>
      </c>
      <c r="E98" s="529">
        <v>1</v>
      </c>
      <c r="F98" s="530">
        <f>C98*D98*E98</f>
        <v>2300</v>
      </c>
      <c r="G98" s="530"/>
      <c r="H98" s="530"/>
      <c r="I98" s="530">
        <f>F98*16%</f>
        <v>368</v>
      </c>
      <c r="J98" s="530">
        <f>SUM(F98:I98)</f>
        <v>2668</v>
      </c>
    </row>
    <row r="99" spans="1:10" s="41" customFormat="1" ht="19.899999999999999" customHeight="1">
      <c r="A99" s="436"/>
      <c r="B99" s="14" t="s">
        <v>142</v>
      </c>
      <c r="C99" s="15">
        <v>10</v>
      </c>
      <c r="D99" s="16">
        <v>1500</v>
      </c>
      <c r="E99" s="15">
        <v>5</v>
      </c>
      <c r="F99" s="16">
        <f t="shared" ref="F97:F99" si="38">SUM(C99*D99*E99)</f>
        <v>75000</v>
      </c>
      <c r="G99" s="16">
        <v>0</v>
      </c>
      <c r="H99" s="16">
        <v>0</v>
      </c>
      <c r="I99" s="16">
        <f t="shared" ref="I97:I99" si="39">(F99*16%)+(G99*16%)+(H99*16%)</f>
        <v>12000</v>
      </c>
      <c r="J99" s="17">
        <f t="shared" ref="J97:J99" si="40">I99+H99+G99+F99</f>
        <v>87000</v>
      </c>
    </row>
    <row r="100" spans="1:10">
      <c r="A100" s="18"/>
      <c r="B100" s="19" t="s">
        <v>78</v>
      </c>
      <c r="C100" s="35"/>
      <c r="D100" s="36"/>
      <c r="E100" s="35"/>
      <c r="F100" s="65">
        <f>SUM(F95:F99)</f>
        <v>463881</v>
      </c>
      <c r="G100" s="65">
        <f>SUM(G95:G99)</f>
        <v>0</v>
      </c>
      <c r="H100" s="65">
        <f t="shared" ref="H100:J100" si="41">SUM(H95:H99)</f>
        <v>23550</v>
      </c>
      <c r="I100" s="65">
        <f t="shared" si="41"/>
        <v>74227.360000000015</v>
      </c>
      <c r="J100" s="65">
        <f t="shared" si="41"/>
        <v>561658.36</v>
      </c>
    </row>
    <row r="101" spans="1:10" ht="25.5">
      <c r="A101" s="23"/>
      <c r="B101" s="28" t="s">
        <v>143</v>
      </c>
      <c r="C101" s="82"/>
      <c r="D101" s="83"/>
      <c r="E101" s="82"/>
      <c r="F101" s="83">
        <f>F100</f>
        <v>463881</v>
      </c>
      <c r="G101" s="83">
        <f>G100</f>
        <v>0</v>
      </c>
      <c r="H101" s="83">
        <f>H100</f>
        <v>23550</v>
      </c>
      <c r="I101" s="83">
        <f>I100</f>
        <v>74227.360000000015</v>
      </c>
      <c r="J101" s="83">
        <f>J100</f>
        <v>561658.36</v>
      </c>
    </row>
    <row r="102" spans="1:10">
      <c r="A102" s="23"/>
      <c r="B102" s="24"/>
      <c r="C102" s="25"/>
      <c r="D102" s="26"/>
      <c r="E102" s="25"/>
      <c r="F102" s="26"/>
      <c r="G102" s="26"/>
      <c r="H102" s="26"/>
      <c r="I102" s="26"/>
      <c r="J102" s="26"/>
    </row>
    <row r="103" spans="1:10" ht="22.5">
      <c r="A103" s="430" t="s">
        <v>1</v>
      </c>
      <c r="B103" s="430"/>
      <c r="C103" s="430"/>
      <c r="D103" s="430"/>
      <c r="E103" s="430"/>
      <c r="F103" s="26"/>
      <c r="G103" s="26"/>
      <c r="H103" s="26"/>
      <c r="I103" s="26"/>
      <c r="J103" s="26"/>
    </row>
    <row r="104" spans="1:10">
      <c r="A104" s="39"/>
      <c r="B104" s="85"/>
      <c r="C104" s="82"/>
      <c r="D104" s="83"/>
      <c r="E104" s="86" t="s">
        <v>144</v>
      </c>
      <c r="F104" s="83">
        <f>F25</f>
        <v>14247134.200000001</v>
      </c>
      <c r="G104" s="83">
        <f>G25</f>
        <v>300.66000000000003</v>
      </c>
      <c r="H104" s="83">
        <f>H25</f>
        <v>12155</v>
      </c>
      <c r="I104" s="83">
        <f>I25</f>
        <v>2279614.3776000007</v>
      </c>
      <c r="J104" s="83">
        <f>SUM(F104:I104)</f>
        <v>16539204.237600002</v>
      </c>
    </row>
    <row r="105" spans="1:10">
      <c r="A105" s="39"/>
      <c r="B105" s="85"/>
      <c r="C105" s="82"/>
      <c r="D105" s="83"/>
      <c r="E105" s="86" t="s">
        <v>145</v>
      </c>
      <c r="F105" s="83">
        <f>F51</f>
        <v>266500</v>
      </c>
      <c r="G105" s="83">
        <f>G51</f>
        <v>0</v>
      </c>
      <c r="H105" s="83">
        <f>H51</f>
        <v>39975</v>
      </c>
      <c r="I105" s="83">
        <f>I51</f>
        <v>49036</v>
      </c>
      <c r="J105" s="83">
        <f>SUM(F105:I105)</f>
        <v>355511</v>
      </c>
    </row>
    <row r="106" spans="1:10">
      <c r="A106" s="39"/>
      <c r="B106" s="85"/>
      <c r="C106" s="82"/>
      <c r="D106" s="83"/>
      <c r="E106" s="86" t="s">
        <v>146</v>
      </c>
      <c r="F106" s="83">
        <f>F66</f>
        <v>262440</v>
      </c>
      <c r="G106" s="83">
        <f>G66</f>
        <v>0</v>
      </c>
      <c r="H106" s="83">
        <f>H66</f>
        <v>15746.4</v>
      </c>
      <c r="I106" s="83">
        <f>I66</f>
        <v>41990.400000000009</v>
      </c>
      <c r="J106" s="83">
        <f>SUM(F106:I106)</f>
        <v>320176.80000000005</v>
      </c>
    </row>
    <row r="107" spans="1:10">
      <c r="A107" s="39"/>
      <c r="B107" s="85"/>
      <c r="C107" s="82"/>
      <c r="D107" s="83"/>
      <c r="E107" s="86" t="str">
        <f>A68</f>
        <v>TELEMARKETING</v>
      </c>
      <c r="F107" s="83">
        <f>F73</f>
        <v>0</v>
      </c>
      <c r="G107" s="83">
        <f>G73</f>
        <v>0</v>
      </c>
      <c r="H107" s="83">
        <f>H73</f>
        <v>0</v>
      </c>
      <c r="I107" s="83">
        <f>I73</f>
        <v>0</v>
      </c>
      <c r="J107" s="83">
        <f>SUM(F107:I107)</f>
        <v>0</v>
      </c>
    </row>
    <row r="108" spans="1:10">
      <c r="A108" s="39"/>
      <c r="B108" s="85"/>
      <c r="C108" s="82"/>
      <c r="D108" s="83"/>
      <c r="E108" s="86" t="s">
        <v>30</v>
      </c>
      <c r="F108" s="83">
        <f>F91</f>
        <v>0</v>
      </c>
      <c r="G108" s="83">
        <f>G91</f>
        <v>0</v>
      </c>
      <c r="H108" s="83">
        <f>H91</f>
        <v>0</v>
      </c>
      <c r="I108" s="83">
        <f>I91</f>
        <v>0</v>
      </c>
      <c r="J108" s="83">
        <f>SUM(F108:I108)</f>
        <v>0</v>
      </c>
    </row>
    <row r="109" spans="1:10">
      <c r="A109" s="40"/>
      <c r="B109" s="87"/>
      <c r="C109" s="88"/>
      <c r="D109" s="89"/>
      <c r="E109" s="90" t="s">
        <v>147</v>
      </c>
      <c r="F109" s="89">
        <f>SUM(F104:F108)</f>
        <v>14776074.200000001</v>
      </c>
      <c r="G109" s="89">
        <f t="shared" ref="G109:I109" si="42">SUM(G104:G108)</f>
        <v>300.66000000000003</v>
      </c>
      <c r="H109" s="89">
        <f t="shared" si="42"/>
        <v>67876.399999999994</v>
      </c>
      <c r="I109" s="89">
        <f t="shared" si="42"/>
        <v>2370640.7776000006</v>
      </c>
      <c r="J109" s="89">
        <f>SUM(J104:J108)</f>
        <v>17214892.037600003</v>
      </c>
    </row>
    <row r="110" spans="1:10">
      <c r="A110" s="39"/>
      <c r="B110" s="85"/>
      <c r="C110" s="82"/>
      <c r="D110" s="83"/>
      <c r="E110" s="86" t="s">
        <v>148</v>
      </c>
      <c r="F110" s="83">
        <f>(F104+F105+F106+F107+F108)*6%</f>
        <v>886564.45200000005</v>
      </c>
      <c r="G110" s="83"/>
      <c r="H110" s="83"/>
      <c r="I110" s="83">
        <f>F110*16%</f>
        <v>141850.31232</v>
      </c>
      <c r="J110" s="83">
        <f>SUM(F110:I110)</f>
        <v>1028414.7643200001</v>
      </c>
    </row>
    <row r="111" spans="1:10">
      <c r="A111" s="39"/>
      <c r="B111" s="85"/>
      <c r="C111" s="82"/>
      <c r="D111" s="83"/>
      <c r="E111" s="86" t="s">
        <v>149</v>
      </c>
      <c r="F111" s="83">
        <f>F101</f>
        <v>463881</v>
      </c>
      <c r="G111" s="83">
        <f>G101</f>
        <v>0</v>
      </c>
      <c r="H111" s="83">
        <f>H101</f>
        <v>23550</v>
      </c>
      <c r="I111" s="83">
        <f>I101</f>
        <v>74227.360000000015</v>
      </c>
      <c r="J111" s="83">
        <f>SUM(F111:I111)</f>
        <v>561658.36</v>
      </c>
    </row>
    <row r="112" spans="1:10">
      <c r="A112" s="40"/>
      <c r="B112" s="87"/>
      <c r="C112" s="88"/>
      <c r="D112" s="89"/>
      <c r="E112" s="90" t="s">
        <v>150</v>
      </c>
      <c r="F112" s="89">
        <f>SUM(F109:F111)</f>
        <v>16126519.652000001</v>
      </c>
      <c r="G112" s="89">
        <f>SUM(G109:G111)</f>
        <v>300.66000000000003</v>
      </c>
      <c r="H112" s="89">
        <f>SUM(H109:H111)</f>
        <v>91426.4</v>
      </c>
      <c r="I112" s="89">
        <f>SUM(I109:I111)</f>
        <v>2586718.4499200005</v>
      </c>
      <c r="J112" s="89">
        <f>SUM(J109:J111)</f>
        <v>18804965.161920004</v>
      </c>
    </row>
    <row r="114" spans="1:1">
      <c r="A114" s="98" t="s">
        <v>192</v>
      </c>
    </row>
    <row r="115" spans="1:1">
      <c r="A115" s="98" t="s">
        <v>151</v>
      </c>
    </row>
  </sheetData>
  <mergeCells count="27">
    <mergeCell ref="A20:A22"/>
    <mergeCell ref="A1:J5"/>
    <mergeCell ref="B7:J7"/>
    <mergeCell ref="B8:J8"/>
    <mergeCell ref="B9:J9"/>
    <mergeCell ref="B10:J10"/>
    <mergeCell ref="B11:J11"/>
    <mergeCell ref="B12:J12"/>
    <mergeCell ref="B13:J13"/>
    <mergeCell ref="F14:G14"/>
    <mergeCell ref="H14:J14"/>
    <mergeCell ref="A17:B17"/>
    <mergeCell ref="A75:B75"/>
    <mergeCell ref="A28:B28"/>
    <mergeCell ref="A30:A31"/>
    <mergeCell ref="A32:A37"/>
    <mergeCell ref="A38:A43"/>
    <mergeCell ref="A44:A48"/>
    <mergeCell ref="A54:B54"/>
    <mergeCell ref="A56:A62"/>
    <mergeCell ref="A63:A64"/>
    <mergeCell ref="A68:B68"/>
    <mergeCell ref="A77:A78"/>
    <mergeCell ref="A81:A89"/>
    <mergeCell ref="A93:B93"/>
    <mergeCell ref="A95:A99"/>
    <mergeCell ref="A103:E10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D1912-BF0B-4CB3-B6D6-DABF68B99EA0}">
  <sheetPr>
    <tabColor theme="0"/>
  </sheetPr>
  <dimension ref="A1:N123"/>
  <sheetViews>
    <sheetView zoomScale="90" zoomScaleNormal="90" workbookViewId="0">
      <selection activeCell="B10" sqref="B10:J10"/>
    </sheetView>
  </sheetViews>
  <sheetFormatPr defaultColWidth="8.85546875" defaultRowHeight="15"/>
  <cols>
    <col min="1" max="1" width="20.7109375" customWidth="1"/>
    <col min="2" max="2" width="49.140625" customWidth="1"/>
    <col min="3" max="3" width="10.5703125" customWidth="1"/>
    <col min="4" max="5" width="13.85546875" customWidth="1"/>
    <col min="6" max="6" width="16.85546875" customWidth="1"/>
    <col min="7" max="8" width="13.85546875" customWidth="1"/>
    <col min="9" max="9" width="15.28515625" bestFit="1" customWidth="1"/>
    <col min="10" max="10" width="19.28515625" customWidth="1"/>
  </cols>
  <sheetData>
    <row r="1" spans="1:10">
      <c r="A1" s="438" t="s">
        <v>44</v>
      </c>
      <c r="B1" s="439"/>
      <c r="C1" s="439"/>
      <c r="D1" s="439"/>
      <c r="E1" s="439"/>
      <c r="F1" s="439"/>
      <c r="G1" s="439"/>
      <c r="H1" s="439"/>
      <c r="I1" s="439"/>
      <c r="J1" s="440"/>
    </row>
    <row r="2" spans="1:10">
      <c r="A2" s="441"/>
      <c r="B2" s="442"/>
      <c r="C2" s="442"/>
      <c r="D2" s="442"/>
      <c r="E2" s="442"/>
      <c r="F2" s="442"/>
      <c r="G2" s="442"/>
      <c r="H2" s="442"/>
      <c r="I2" s="442"/>
      <c r="J2" s="443"/>
    </row>
    <row r="3" spans="1:10">
      <c r="A3" s="441"/>
      <c r="B3" s="442"/>
      <c r="C3" s="442"/>
      <c r="D3" s="442"/>
      <c r="E3" s="442"/>
      <c r="F3" s="442"/>
      <c r="G3" s="442"/>
      <c r="H3" s="442"/>
      <c r="I3" s="442"/>
      <c r="J3" s="443"/>
    </row>
    <row r="4" spans="1:10">
      <c r="A4" s="441"/>
      <c r="B4" s="442"/>
      <c r="C4" s="442"/>
      <c r="D4" s="442"/>
      <c r="E4" s="442"/>
      <c r="F4" s="442"/>
      <c r="G4" s="442"/>
      <c r="H4" s="442"/>
      <c r="I4" s="442"/>
      <c r="J4" s="443"/>
    </row>
    <row r="5" spans="1:10">
      <c r="A5" s="444"/>
      <c r="B5" s="445"/>
      <c r="C5" s="445"/>
      <c r="D5" s="445"/>
      <c r="E5" s="445"/>
      <c r="F5" s="445"/>
      <c r="G5" s="445"/>
      <c r="H5" s="445"/>
      <c r="I5" s="445"/>
      <c r="J5" s="446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 customHeight="1">
      <c r="A7" s="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75">
      <c r="A8" s="2" t="s">
        <v>46</v>
      </c>
      <c r="B8" s="448" t="s">
        <v>265</v>
      </c>
      <c r="C8" s="448"/>
      <c r="D8" s="448"/>
      <c r="E8" s="448"/>
      <c r="F8" s="448"/>
      <c r="G8" s="448"/>
      <c r="H8" s="448"/>
      <c r="I8" s="448"/>
      <c r="J8" s="448"/>
    </row>
    <row r="9" spans="1:10" ht="15.75">
      <c r="A9" s="2" t="s">
        <v>48</v>
      </c>
      <c r="B9" s="449" t="s">
        <v>266</v>
      </c>
      <c r="C9" s="449"/>
      <c r="D9" s="449"/>
      <c r="E9" s="449"/>
      <c r="F9" s="449"/>
      <c r="G9" s="449"/>
      <c r="H9" s="449"/>
      <c r="I9" s="449"/>
      <c r="J9" s="449"/>
    </row>
    <row r="10" spans="1:10" ht="15.75">
      <c r="A10" s="2" t="s">
        <v>50</v>
      </c>
      <c r="B10" s="450" t="s">
        <v>195</v>
      </c>
      <c r="C10" s="450"/>
      <c r="D10" s="450"/>
      <c r="E10" s="450"/>
      <c r="F10" s="450"/>
      <c r="G10" s="450"/>
      <c r="H10" s="450"/>
      <c r="I10" s="450"/>
      <c r="J10" s="450"/>
    </row>
    <row r="11" spans="1:10" ht="15.75">
      <c r="A11" s="2" t="s">
        <v>52</v>
      </c>
      <c r="B11" s="450" t="s">
        <v>154</v>
      </c>
      <c r="C11" s="450"/>
      <c r="D11" s="450"/>
      <c r="E11" s="450"/>
      <c r="F11" s="450"/>
      <c r="G11" s="450"/>
      <c r="H11" s="450"/>
      <c r="I11" s="450"/>
      <c r="J11" s="450"/>
    </row>
    <row r="12" spans="1:10" ht="15.6" customHeight="1">
      <c r="A12" s="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2" t="s">
        <v>56</v>
      </c>
      <c r="B13" s="450"/>
      <c r="C13" s="450"/>
      <c r="D13" s="450"/>
      <c r="E13" s="450"/>
      <c r="F13" s="450"/>
      <c r="G13" s="450"/>
      <c r="H13" s="450"/>
      <c r="I13" s="450"/>
      <c r="J13" s="450"/>
    </row>
    <row r="14" spans="1:10">
      <c r="A14" s="3" t="s">
        <v>57</v>
      </c>
      <c r="B14" s="4" t="s">
        <v>58</v>
      </c>
      <c r="C14" s="5" t="s">
        <v>59</v>
      </c>
      <c r="D14" s="6">
        <v>0</v>
      </c>
      <c r="E14" s="7"/>
      <c r="F14" s="451" t="s">
        <v>60</v>
      </c>
      <c r="G14" s="451"/>
      <c r="H14" s="452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>
      <c r="A17" s="431" t="s">
        <v>61</v>
      </c>
      <c r="B17" s="432"/>
      <c r="C17" s="7"/>
      <c r="D17" s="7"/>
      <c r="E17" s="7"/>
      <c r="F17" s="7"/>
      <c r="G17" s="7"/>
      <c r="H17" s="7"/>
      <c r="I17" s="7"/>
      <c r="J17" s="7"/>
    </row>
    <row r="18" spans="1:10">
      <c r="A18" s="78" t="s">
        <v>62</v>
      </c>
      <c r="B18" s="79" t="s">
        <v>13</v>
      </c>
      <c r="C18" s="80" t="s">
        <v>63</v>
      </c>
      <c r="D18" s="80" t="s">
        <v>64</v>
      </c>
      <c r="E18" s="80" t="s">
        <v>65</v>
      </c>
      <c r="F18" s="80" t="s">
        <v>66</v>
      </c>
      <c r="G18" s="80" t="s">
        <v>67</v>
      </c>
      <c r="H18" s="80" t="s">
        <v>68</v>
      </c>
      <c r="I18" s="80" t="s">
        <v>69</v>
      </c>
      <c r="J18" s="8" t="s">
        <v>70</v>
      </c>
    </row>
    <row r="19" spans="1:10" s="41" customFormat="1">
      <c r="A19" s="427" t="s">
        <v>71</v>
      </c>
      <c r="B19" s="70" t="s">
        <v>72</v>
      </c>
      <c r="C19" s="72">
        <v>5</v>
      </c>
      <c r="D19" s="74">
        <v>7151.9</v>
      </c>
      <c r="E19" s="72">
        <v>1</v>
      </c>
      <c r="F19" s="74">
        <f>SUM(C19*D19*E19)</f>
        <v>35759.5</v>
      </c>
      <c r="G19" s="74">
        <f>178.8*C19*E19</f>
        <v>894</v>
      </c>
      <c r="H19" s="74">
        <f>170*C19*E19</f>
        <v>850</v>
      </c>
      <c r="I19" s="74">
        <f>(F19+G19+H19)*16%</f>
        <v>6000.56</v>
      </c>
      <c r="J19" s="81">
        <f>I19+H19+G19+F19</f>
        <v>43504.06</v>
      </c>
    </row>
    <row r="20" spans="1:10" s="41" customFormat="1">
      <c r="A20" s="429"/>
      <c r="B20" s="14" t="s">
        <v>73</v>
      </c>
      <c r="C20" s="15">
        <v>5</v>
      </c>
      <c r="D20" s="16">
        <v>85.4</v>
      </c>
      <c r="E20" s="15">
        <v>1</v>
      </c>
      <c r="F20" s="16"/>
      <c r="G20" s="16"/>
      <c r="H20" s="16">
        <f>E20*D20*C20</f>
        <v>427</v>
      </c>
      <c r="I20" s="16">
        <v>0</v>
      </c>
      <c r="J20" s="17">
        <f t="shared" ref="J20:J25" si="0">I20+H20+G20+F20</f>
        <v>427</v>
      </c>
    </row>
    <row r="21" spans="1:10" s="41" customFormat="1" ht="14.45" customHeight="1">
      <c r="A21" s="427" t="s">
        <v>74</v>
      </c>
      <c r="B21" s="46" t="s">
        <v>72</v>
      </c>
      <c r="C21" s="47">
        <v>30</v>
      </c>
      <c r="D21" s="48">
        <v>7151.9</v>
      </c>
      <c r="E21" s="47">
        <v>3</v>
      </c>
      <c r="F21" s="48">
        <f>SUM(C21*D21*E21)</f>
        <v>643671</v>
      </c>
      <c r="G21" s="74">
        <f>178.8*C21*E21</f>
        <v>16092</v>
      </c>
      <c r="H21" s="74">
        <f>170*C21*E21</f>
        <v>15300</v>
      </c>
      <c r="I21" s="74">
        <f>(F21+G21+H21)*16%</f>
        <v>108010.08</v>
      </c>
      <c r="J21" s="49">
        <f>I21+H21+G21+F21</f>
        <v>783073.08000000007</v>
      </c>
    </row>
    <row r="22" spans="1:10" s="41" customFormat="1">
      <c r="A22" s="428"/>
      <c r="B22" s="9" t="s">
        <v>73</v>
      </c>
      <c r="C22" s="10">
        <v>30</v>
      </c>
      <c r="D22" s="11">
        <v>85.4</v>
      </c>
      <c r="E22" s="10">
        <v>3</v>
      </c>
      <c r="F22" s="11"/>
      <c r="G22" s="11"/>
      <c r="H22" s="11">
        <f>E22*D22*C22</f>
        <v>7686.0000000000018</v>
      </c>
      <c r="I22" s="11">
        <v>0</v>
      </c>
      <c r="J22" s="12">
        <f t="shared" ref="J22" si="1">I22+H22+G22+F22</f>
        <v>7686.0000000000018</v>
      </c>
    </row>
    <row r="23" spans="1:10" s="41" customFormat="1" ht="14.45" customHeight="1">
      <c r="A23" s="428"/>
      <c r="B23" s="70" t="s">
        <v>155</v>
      </c>
      <c r="C23" s="72">
        <v>190</v>
      </c>
      <c r="D23" s="74">
        <v>8832.07</v>
      </c>
      <c r="E23" s="72">
        <v>3</v>
      </c>
      <c r="F23" s="74">
        <f>SUM(C23*D23*E23)</f>
        <v>5034279.9000000004</v>
      </c>
      <c r="G23" s="74">
        <f>220.8*C23*E23</f>
        <v>125856</v>
      </c>
      <c r="H23" s="74">
        <f>340*C23*E23</f>
        <v>193800</v>
      </c>
      <c r="I23" s="74">
        <f>F23*16%</f>
        <v>805484.7840000001</v>
      </c>
      <c r="J23" s="81">
        <f t="shared" si="0"/>
        <v>6159420.6840000004</v>
      </c>
    </row>
    <row r="24" spans="1:10" s="41" customFormat="1">
      <c r="A24" s="428"/>
      <c r="B24" s="42" t="s">
        <v>73</v>
      </c>
      <c r="C24" s="43">
        <v>190</v>
      </c>
      <c r="D24" s="44">
        <v>85.4</v>
      </c>
      <c r="E24" s="43">
        <v>3</v>
      </c>
      <c r="F24" s="44"/>
      <c r="G24" s="44"/>
      <c r="H24" s="44">
        <f>E24*D24*C24</f>
        <v>48678.000000000007</v>
      </c>
      <c r="I24" s="44">
        <v>0</v>
      </c>
      <c r="J24" s="45">
        <f t="shared" si="0"/>
        <v>48678.000000000007</v>
      </c>
    </row>
    <row r="25" spans="1:10" s="41" customFormat="1" ht="27.6" customHeight="1">
      <c r="A25" s="429"/>
      <c r="B25" s="99" t="s">
        <v>76</v>
      </c>
      <c r="C25" s="100">
        <v>-6</v>
      </c>
      <c r="D25" s="101">
        <v>7151.9</v>
      </c>
      <c r="E25" s="100">
        <v>-3</v>
      </c>
      <c r="F25" s="101">
        <f>SUM(C25*D25*E25)</f>
        <v>128734.19999999998</v>
      </c>
      <c r="G25" s="248">
        <f>-178.8*C25*E25</f>
        <v>-3218.4000000000005</v>
      </c>
      <c r="H25" s="248">
        <f>-170*C25*E25</f>
        <v>-3060</v>
      </c>
      <c r="I25" s="248">
        <f>-(F25+G25+H25)*16%</f>
        <v>-19592.928</v>
      </c>
      <c r="J25" s="102">
        <f t="shared" si="0"/>
        <v>102862.87199999997</v>
      </c>
    </row>
    <row r="26" spans="1:10" s="41" customFormat="1" ht="27.6" customHeight="1">
      <c r="A26" s="418"/>
      <c r="B26" s="172" t="s">
        <v>77</v>
      </c>
      <c r="C26" s="173">
        <v>1</v>
      </c>
      <c r="D26" s="174">
        <v>50000</v>
      </c>
      <c r="E26" s="173">
        <v>1</v>
      </c>
      <c r="F26" s="174">
        <f>SUM(C26*D26*E26)</f>
        <v>50000</v>
      </c>
      <c r="G26" s="174">
        <f>178.8*C26*E26</f>
        <v>178.8</v>
      </c>
      <c r="H26" s="174">
        <f>170*C26*E26</f>
        <v>170</v>
      </c>
      <c r="I26" s="174">
        <f>(F26+G26+H26)*16%</f>
        <v>8055.8080000000009</v>
      </c>
      <c r="J26" s="175">
        <f>I26+H26+G26+F26</f>
        <v>58404.608</v>
      </c>
    </row>
    <row r="27" spans="1:10">
      <c r="A27" s="18"/>
      <c r="B27" s="19" t="s">
        <v>78</v>
      </c>
      <c r="C27" s="20"/>
      <c r="D27" s="21"/>
      <c r="E27" s="20"/>
      <c r="F27" s="22">
        <f>SUM(F19:F26)</f>
        <v>5892444.6000000006</v>
      </c>
      <c r="G27" s="22">
        <f>SUM(G19:G26)</f>
        <v>139802.4</v>
      </c>
      <c r="H27" s="22">
        <f>SUM(H19:H26)</f>
        <v>263851</v>
      </c>
      <c r="I27" s="22">
        <f>SUM(I19:I26)</f>
        <v>907958.30400000012</v>
      </c>
      <c r="J27" s="22">
        <f>SUM(J19:J26)</f>
        <v>7204056.3040000005</v>
      </c>
    </row>
    <row r="28" spans="1:10">
      <c r="A28" s="23"/>
      <c r="B28" s="28" t="s">
        <v>79</v>
      </c>
      <c r="C28" s="82"/>
      <c r="D28" s="83"/>
      <c r="E28" s="82"/>
      <c r="F28" s="83">
        <f>F27</f>
        <v>5892444.6000000006</v>
      </c>
      <c r="G28" s="83">
        <f t="shared" ref="G28:J28" si="2">G27</f>
        <v>139802.4</v>
      </c>
      <c r="H28" s="83">
        <f t="shared" si="2"/>
        <v>263851</v>
      </c>
      <c r="I28" s="83">
        <f t="shared" si="2"/>
        <v>907958.30400000012</v>
      </c>
      <c r="J28" s="83">
        <f t="shared" si="2"/>
        <v>7204056.3040000005</v>
      </c>
    </row>
    <row r="29" spans="1:10">
      <c r="A29" s="18"/>
      <c r="B29" s="29"/>
      <c r="C29" s="20"/>
      <c r="D29" s="30"/>
      <c r="E29" s="20"/>
      <c r="F29" s="30"/>
      <c r="G29" s="30"/>
      <c r="H29" s="30"/>
      <c r="I29" s="30"/>
      <c r="J29" s="30"/>
    </row>
    <row r="30" spans="1:10">
      <c r="A30" s="18"/>
      <c r="B30" s="29"/>
      <c r="C30" s="20"/>
      <c r="D30" s="30"/>
      <c r="E30" s="20"/>
      <c r="F30" s="30"/>
      <c r="G30" s="30"/>
      <c r="H30" s="30"/>
      <c r="I30" s="30"/>
      <c r="J30" s="30"/>
    </row>
    <row r="31" spans="1:10">
      <c r="A31" s="431" t="s">
        <v>80</v>
      </c>
      <c r="B31" s="432"/>
      <c r="C31" s="7"/>
      <c r="D31" s="7"/>
      <c r="E31" s="7"/>
      <c r="F31" s="7"/>
      <c r="G31" s="7"/>
      <c r="H31" s="7"/>
      <c r="I31" s="7"/>
      <c r="J31" s="7"/>
    </row>
    <row r="32" spans="1:10">
      <c r="A32" s="78" t="s">
        <v>62</v>
      </c>
      <c r="B32" s="79" t="s">
        <v>13</v>
      </c>
      <c r="C32" s="80" t="s">
        <v>63</v>
      </c>
      <c r="D32" s="80" t="s">
        <v>64</v>
      </c>
      <c r="E32" s="80" t="s">
        <v>65</v>
      </c>
      <c r="F32" s="80" t="s">
        <v>66</v>
      </c>
      <c r="G32" s="80" t="s">
        <v>27</v>
      </c>
      <c r="H32" s="80" t="s">
        <v>68</v>
      </c>
      <c r="I32" s="80" t="s">
        <v>69</v>
      </c>
      <c r="J32" s="8" t="s">
        <v>70</v>
      </c>
    </row>
    <row r="33" spans="1:10" s="41" customFormat="1" ht="36.75">
      <c r="A33" s="434" t="s">
        <v>71</v>
      </c>
      <c r="B33" s="128" t="s">
        <v>81</v>
      </c>
      <c r="C33" s="72">
        <v>5</v>
      </c>
      <c r="D33" s="71">
        <v>0</v>
      </c>
      <c r="E33" s="72">
        <v>1</v>
      </c>
      <c r="F33" s="74">
        <f t="shared" ref="F33:F40" si="3">SUM(C33*D33*E33)</f>
        <v>0</v>
      </c>
      <c r="G33" s="71"/>
      <c r="H33" s="71">
        <f t="shared" ref="H33:H40" si="4">F33*15%</f>
        <v>0</v>
      </c>
      <c r="I33" s="71">
        <f t="shared" ref="I33:I40" si="5">(F33*16%)+(H33*16%)</f>
        <v>0</v>
      </c>
      <c r="J33" s="73">
        <f t="shared" ref="J33:J40" si="6">I33+H33+G33+F33</f>
        <v>0</v>
      </c>
    </row>
    <row r="34" spans="1:10" s="41" customFormat="1">
      <c r="A34" s="436"/>
      <c r="B34" s="126" t="s">
        <v>82</v>
      </c>
      <c r="C34" s="57">
        <v>5</v>
      </c>
      <c r="D34" s="58">
        <v>0</v>
      </c>
      <c r="E34" s="57">
        <v>1</v>
      </c>
      <c r="F34" s="59">
        <f t="shared" si="3"/>
        <v>0</v>
      </c>
      <c r="G34" s="58"/>
      <c r="H34" s="58">
        <f t="shared" si="4"/>
        <v>0</v>
      </c>
      <c r="I34" s="58">
        <f t="shared" si="5"/>
        <v>0</v>
      </c>
      <c r="J34" s="60">
        <f t="shared" si="6"/>
        <v>0</v>
      </c>
    </row>
    <row r="35" spans="1:10" s="41" customFormat="1" ht="36.75">
      <c r="A35" s="435" t="s">
        <v>83</v>
      </c>
      <c r="B35" s="260" t="s">
        <v>84</v>
      </c>
      <c r="C35" s="10">
        <v>5</v>
      </c>
      <c r="D35" s="31">
        <v>0</v>
      </c>
      <c r="E35" s="10">
        <v>1</v>
      </c>
      <c r="F35" s="48">
        <f t="shared" si="3"/>
        <v>0</v>
      </c>
      <c r="G35" s="31"/>
      <c r="H35" s="31">
        <f t="shared" si="4"/>
        <v>0</v>
      </c>
      <c r="I35" s="31">
        <f t="shared" si="5"/>
        <v>0</v>
      </c>
      <c r="J35" s="32">
        <f t="shared" si="6"/>
        <v>0</v>
      </c>
    </row>
    <row r="36" spans="1:10" s="41" customFormat="1" ht="24.75">
      <c r="A36" s="437"/>
      <c r="B36" s="260" t="s">
        <v>85</v>
      </c>
      <c r="C36" s="10">
        <v>410</v>
      </c>
      <c r="D36" s="31">
        <v>0</v>
      </c>
      <c r="E36" s="10">
        <v>1</v>
      </c>
      <c r="F36" s="48">
        <f t="shared" si="3"/>
        <v>0</v>
      </c>
      <c r="G36" s="31"/>
      <c r="H36" s="31">
        <f t="shared" si="4"/>
        <v>0</v>
      </c>
      <c r="I36" s="31">
        <f t="shared" si="5"/>
        <v>0</v>
      </c>
      <c r="J36" s="32">
        <f t="shared" si="6"/>
        <v>0</v>
      </c>
    </row>
    <row r="37" spans="1:10" s="41" customFormat="1" ht="54.75" customHeight="1">
      <c r="A37" s="437"/>
      <c r="B37" s="129" t="s">
        <v>267</v>
      </c>
      <c r="C37" s="10">
        <v>410</v>
      </c>
      <c r="D37" s="31">
        <v>0</v>
      </c>
      <c r="E37" s="10">
        <v>1</v>
      </c>
      <c r="F37" s="48">
        <f t="shared" si="3"/>
        <v>0</v>
      </c>
      <c r="G37" s="31"/>
      <c r="H37" s="31">
        <f>F37*15%</f>
        <v>0</v>
      </c>
      <c r="I37" s="31">
        <f>(F37*16%)+(H37*16%)</f>
        <v>0</v>
      </c>
      <c r="J37" s="32">
        <f t="shared" si="6"/>
        <v>0</v>
      </c>
    </row>
    <row r="38" spans="1:10" s="41" customFormat="1" ht="61.5">
      <c r="A38" s="437"/>
      <c r="B38" s="268" t="s">
        <v>268</v>
      </c>
      <c r="C38" s="43">
        <v>410</v>
      </c>
      <c r="D38" s="63">
        <v>300</v>
      </c>
      <c r="E38" s="43">
        <v>0</v>
      </c>
      <c r="F38" s="54">
        <f t="shared" si="3"/>
        <v>0</v>
      </c>
      <c r="G38" s="63"/>
      <c r="H38" s="63">
        <f>F38*15%</f>
        <v>0</v>
      </c>
      <c r="I38" s="63">
        <f>(F38*16%)+(H38*16%)</f>
        <v>0</v>
      </c>
      <c r="J38" s="64">
        <f t="shared" si="6"/>
        <v>0</v>
      </c>
    </row>
    <row r="39" spans="1:10" s="41" customFormat="1" ht="55.5" customHeight="1">
      <c r="A39" s="437"/>
      <c r="B39" s="267" t="s">
        <v>269</v>
      </c>
      <c r="C39" s="43">
        <v>410</v>
      </c>
      <c r="D39" s="63">
        <v>0</v>
      </c>
      <c r="E39" s="43">
        <v>1</v>
      </c>
      <c r="F39" s="44">
        <f t="shared" si="3"/>
        <v>0</v>
      </c>
      <c r="G39" s="63"/>
      <c r="H39" s="63">
        <f t="shared" ref="H39" si="7">F39*15%</f>
        <v>0</v>
      </c>
      <c r="I39" s="63">
        <f t="shared" ref="I39" si="8">(F39*16%)+(H39*16%)</f>
        <v>0</v>
      </c>
      <c r="J39" s="64">
        <f t="shared" si="6"/>
        <v>0</v>
      </c>
    </row>
    <row r="40" spans="1:10" s="41" customFormat="1" ht="45" customHeight="1">
      <c r="A40" s="437"/>
      <c r="B40" s="131" t="s">
        <v>270</v>
      </c>
      <c r="C40" s="43">
        <v>410</v>
      </c>
      <c r="D40" s="63">
        <v>0</v>
      </c>
      <c r="E40" s="43">
        <v>1</v>
      </c>
      <c r="F40" s="44">
        <f t="shared" si="3"/>
        <v>0</v>
      </c>
      <c r="G40" s="63"/>
      <c r="H40" s="63">
        <f t="shared" si="4"/>
        <v>0</v>
      </c>
      <c r="I40" s="63">
        <f t="shared" si="5"/>
        <v>0</v>
      </c>
      <c r="J40" s="64">
        <f t="shared" si="6"/>
        <v>0</v>
      </c>
    </row>
    <row r="41" spans="1:10" s="41" customFormat="1">
      <c r="A41" s="434" t="s">
        <v>92</v>
      </c>
      <c r="B41" s="128" t="s">
        <v>93</v>
      </c>
      <c r="C41" s="72">
        <v>410</v>
      </c>
      <c r="D41" s="71">
        <v>0</v>
      </c>
      <c r="E41" s="72">
        <v>1</v>
      </c>
      <c r="F41" s="74">
        <f>SUM(C41*D41*E41)</f>
        <v>0</v>
      </c>
      <c r="G41" s="71"/>
      <c r="H41" s="71">
        <f>F41*15%</f>
        <v>0</v>
      </c>
      <c r="I41" s="71">
        <f>(F41*16%)+(H41*16%)</f>
        <v>0</v>
      </c>
      <c r="J41" s="73">
        <f>I41+H41+G41+F41</f>
        <v>0</v>
      </c>
    </row>
    <row r="42" spans="1:10" s="41" customFormat="1" ht="57.75" customHeight="1">
      <c r="A42" s="437"/>
      <c r="B42" s="129" t="s">
        <v>271</v>
      </c>
      <c r="C42" s="10">
        <v>410</v>
      </c>
      <c r="D42" s="31">
        <v>0</v>
      </c>
      <c r="E42" s="10">
        <v>1</v>
      </c>
      <c r="F42" s="48">
        <f t="shared" ref="F42:F46" si="9">SUM(C42*D42*E42)</f>
        <v>0</v>
      </c>
      <c r="G42" s="31"/>
      <c r="H42" s="31">
        <f>F42*15%</f>
        <v>0</v>
      </c>
      <c r="I42" s="31">
        <f>(F42*16%)+(H42*16%)</f>
        <v>0</v>
      </c>
      <c r="J42" s="32">
        <f t="shared" ref="J42:J46" si="10">I42+H42+G42+F42</f>
        <v>0</v>
      </c>
    </row>
    <row r="43" spans="1:10" s="41" customFormat="1" ht="78.75" customHeight="1">
      <c r="A43" s="437"/>
      <c r="B43" s="268" t="s">
        <v>272</v>
      </c>
      <c r="C43" s="43">
        <v>410</v>
      </c>
      <c r="D43" s="63">
        <v>300</v>
      </c>
      <c r="E43" s="43">
        <v>0</v>
      </c>
      <c r="F43" s="48"/>
      <c r="G43" s="31"/>
      <c r="H43" s="31"/>
      <c r="I43" s="31"/>
      <c r="J43" s="32"/>
    </row>
    <row r="44" spans="1:10" s="41" customFormat="1" ht="24.75">
      <c r="A44" s="437"/>
      <c r="B44" s="260" t="s">
        <v>95</v>
      </c>
      <c r="C44" s="10">
        <v>410</v>
      </c>
      <c r="D44" s="31">
        <v>0</v>
      </c>
      <c r="E44" s="10">
        <v>1</v>
      </c>
      <c r="F44" s="48">
        <f t="shared" ref="F44" si="11">SUM(C44*D44*E44)</f>
        <v>0</v>
      </c>
      <c r="G44" s="31"/>
      <c r="H44" s="31">
        <f t="shared" ref="H44" si="12">F44*15%</f>
        <v>0</v>
      </c>
      <c r="I44" s="31">
        <f t="shared" ref="I44" si="13">(F44*16%)+(H44*16%)</f>
        <v>0</v>
      </c>
      <c r="J44" s="32">
        <f t="shared" ref="J44" si="14">I44+H44+G44+F44</f>
        <v>0</v>
      </c>
    </row>
    <row r="45" spans="1:10" s="41" customFormat="1" ht="61.5">
      <c r="A45" s="437"/>
      <c r="B45" s="268" t="s">
        <v>268</v>
      </c>
      <c r="C45" s="43">
        <v>410</v>
      </c>
      <c r="D45" s="63">
        <v>300</v>
      </c>
      <c r="E45" s="43">
        <v>0</v>
      </c>
      <c r="F45" s="48"/>
      <c r="G45" s="31"/>
      <c r="H45" s="31"/>
      <c r="I45" s="31"/>
      <c r="J45" s="32"/>
    </row>
    <row r="46" spans="1:10" s="41" customFormat="1" ht="49.9" customHeight="1">
      <c r="A46" s="437"/>
      <c r="B46" s="261" t="s">
        <v>97</v>
      </c>
      <c r="C46" s="43">
        <v>410</v>
      </c>
      <c r="D46" s="63">
        <v>0</v>
      </c>
      <c r="E46" s="43">
        <v>1</v>
      </c>
      <c r="F46" s="11">
        <f t="shared" si="9"/>
        <v>0</v>
      </c>
      <c r="G46" s="31"/>
      <c r="H46" s="31">
        <f t="shared" ref="H46" si="15">F46*15%</f>
        <v>0</v>
      </c>
      <c r="I46" s="31">
        <f t="shared" ref="I46" si="16">(F46*16%)+(H46*16%)</f>
        <v>0</v>
      </c>
      <c r="J46" s="32">
        <f t="shared" si="10"/>
        <v>0</v>
      </c>
    </row>
    <row r="47" spans="1:10" s="41" customFormat="1">
      <c r="A47" s="434" t="s">
        <v>98</v>
      </c>
      <c r="B47" s="262" t="s">
        <v>168</v>
      </c>
      <c r="C47" s="72">
        <v>410</v>
      </c>
      <c r="D47" s="71">
        <v>0</v>
      </c>
      <c r="E47" s="72"/>
      <c r="F47" s="74">
        <f>SUM(C47*D47*E47)</f>
        <v>0</v>
      </c>
      <c r="G47" s="71"/>
      <c r="H47" s="71">
        <f>F47*15%</f>
        <v>0</v>
      </c>
      <c r="I47" s="71">
        <f>(F47*16%)+(H47*16%)</f>
        <v>0</v>
      </c>
      <c r="J47" s="73">
        <f>I47+H47+G47+F47</f>
        <v>0</v>
      </c>
    </row>
    <row r="48" spans="1:10" s="41" customFormat="1" ht="58.5" customHeight="1">
      <c r="A48" s="435"/>
      <c r="B48" s="129" t="s">
        <v>267</v>
      </c>
      <c r="C48" s="10">
        <v>410</v>
      </c>
      <c r="D48" s="31">
        <v>0</v>
      </c>
      <c r="E48" s="10">
        <v>1</v>
      </c>
      <c r="F48" s="11">
        <f t="shared" ref="F48:F51" si="17">SUM(C48*D48*E48)</f>
        <v>0</v>
      </c>
      <c r="G48" s="31"/>
      <c r="H48" s="31">
        <f t="shared" ref="H48:H51" si="18">F48*15%</f>
        <v>0</v>
      </c>
      <c r="I48" s="31">
        <f t="shared" ref="I48:I51" si="19">(F48*16%)+(H48*16%)</f>
        <v>0</v>
      </c>
      <c r="J48" s="32">
        <f t="shared" ref="J48:J51" si="20">I48+H48+G48+F48</f>
        <v>0</v>
      </c>
    </row>
    <row r="49" spans="1:10" s="41" customFormat="1" ht="61.5">
      <c r="A49" s="435"/>
      <c r="B49" s="268" t="s">
        <v>272</v>
      </c>
      <c r="C49" s="43">
        <v>410</v>
      </c>
      <c r="D49" s="63">
        <v>300</v>
      </c>
      <c r="E49" s="43">
        <v>0</v>
      </c>
      <c r="F49" s="11">
        <f t="shared" si="17"/>
        <v>0</v>
      </c>
      <c r="G49" s="31"/>
      <c r="H49" s="31">
        <f t="shared" si="18"/>
        <v>0</v>
      </c>
      <c r="I49" s="31">
        <f t="shared" si="19"/>
        <v>0</v>
      </c>
      <c r="J49" s="32">
        <f t="shared" si="20"/>
        <v>0</v>
      </c>
    </row>
    <row r="50" spans="1:10" s="41" customFormat="1" ht="24.75">
      <c r="A50" s="435"/>
      <c r="B50" s="260" t="s">
        <v>85</v>
      </c>
      <c r="C50" s="10">
        <v>410</v>
      </c>
      <c r="D50" s="31">
        <v>0</v>
      </c>
      <c r="E50" s="10">
        <v>1</v>
      </c>
      <c r="F50" s="11">
        <f t="shared" si="17"/>
        <v>0</v>
      </c>
      <c r="G50" s="31"/>
      <c r="H50" s="31">
        <f t="shared" si="18"/>
        <v>0</v>
      </c>
      <c r="I50" s="31">
        <f t="shared" si="19"/>
        <v>0</v>
      </c>
      <c r="J50" s="32">
        <f t="shared" si="20"/>
        <v>0</v>
      </c>
    </row>
    <row r="51" spans="1:10" s="41" customFormat="1" ht="42" customHeight="1">
      <c r="A51" s="435"/>
      <c r="B51" s="131" t="s">
        <v>273</v>
      </c>
      <c r="C51" s="10">
        <v>410</v>
      </c>
      <c r="D51" s="31">
        <v>0</v>
      </c>
      <c r="E51" s="10">
        <v>1</v>
      </c>
      <c r="F51" s="11">
        <f t="shared" si="17"/>
        <v>0</v>
      </c>
      <c r="G51" s="31"/>
      <c r="H51" s="31">
        <f t="shared" si="18"/>
        <v>0</v>
      </c>
      <c r="I51" s="31">
        <f t="shared" si="19"/>
        <v>0</v>
      </c>
      <c r="J51" s="32">
        <f t="shared" si="20"/>
        <v>0</v>
      </c>
    </row>
    <row r="52" spans="1:10" s="41" customFormat="1">
      <c r="A52" s="75" t="s">
        <v>101</v>
      </c>
      <c r="B52" s="263" t="s">
        <v>93</v>
      </c>
      <c r="C52" s="57">
        <v>410</v>
      </c>
      <c r="D52" s="58">
        <v>0</v>
      </c>
      <c r="E52" s="57">
        <v>1</v>
      </c>
      <c r="F52" s="59">
        <f>SUM(C52*D52*E52)</f>
        <v>0</v>
      </c>
      <c r="G52" s="58"/>
      <c r="H52" s="58">
        <f>F52*15%</f>
        <v>0</v>
      </c>
      <c r="I52" s="58">
        <f>(F52*16%)+(H52*16%)</f>
        <v>0</v>
      </c>
      <c r="J52" s="60">
        <f>I52+H52+G52+F52</f>
        <v>0</v>
      </c>
    </row>
    <row r="53" spans="1:10">
      <c r="A53" s="18"/>
      <c r="B53" s="19" t="s">
        <v>78</v>
      </c>
      <c r="C53" s="20"/>
      <c r="D53" s="21"/>
      <c r="E53" s="20"/>
      <c r="F53" s="22">
        <f>SUM(F33:F52)</f>
        <v>0</v>
      </c>
      <c r="G53" s="22">
        <f>SUM(G33:G52)</f>
        <v>0</v>
      </c>
      <c r="H53" s="22">
        <f>SUM(H33:H52)</f>
        <v>0</v>
      </c>
      <c r="I53" s="22">
        <f>SUM(I33:I52)</f>
        <v>0</v>
      </c>
      <c r="J53" s="22">
        <f>SUM(J33:J52)</f>
        <v>0</v>
      </c>
    </row>
    <row r="54" spans="1:10">
      <c r="A54" s="23"/>
      <c r="B54" s="28" t="s">
        <v>102</v>
      </c>
      <c r="C54" s="82"/>
      <c r="D54" s="83"/>
      <c r="E54" s="82"/>
      <c r="F54" s="83">
        <f>F53</f>
        <v>0</v>
      </c>
      <c r="G54" s="83">
        <f t="shared" ref="G54:J54" si="21">G53</f>
        <v>0</v>
      </c>
      <c r="H54" s="83">
        <f t="shared" si="21"/>
        <v>0</v>
      </c>
      <c r="I54" s="83">
        <f t="shared" si="21"/>
        <v>0</v>
      </c>
      <c r="J54" s="83">
        <f t="shared" si="21"/>
        <v>0</v>
      </c>
    </row>
    <row r="55" spans="1:10">
      <c r="A55" s="18"/>
      <c r="B55" s="29"/>
      <c r="C55" s="20"/>
      <c r="D55" s="21"/>
      <c r="E55" s="20"/>
      <c r="F55" s="30"/>
      <c r="G55" s="30"/>
      <c r="H55" s="30"/>
      <c r="I55" s="30"/>
      <c r="J55" s="30"/>
    </row>
    <row r="56" spans="1:10">
      <c r="A56" s="18"/>
      <c r="B56" s="29"/>
      <c r="C56" s="20"/>
      <c r="D56" s="21"/>
      <c r="E56" s="20"/>
      <c r="F56" s="30"/>
      <c r="G56" s="30"/>
      <c r="H56" s="30"/>
      <c r="I56" s="30"/>
      <c r="J56" s="30"/>
    </row>
    <row r="57" spans="1:10">
      <c r="A57" s="431" t="s">
        <v>103</v>
      </c>
      <c r="B57" s="432"/>
      <c r="C57" s="7"/>
      <c r="D57" s="7"/>
      <c r="E57" s="7"/>
      <c r="F57" s="7"/>
      <c r="G57" s="7"/>
      <c r="H57" s="7"/>
      <c r="I57" s="7"/>
      <c r="J57" s="7"/>
    </row>
    <row r="58" spans="1:10">
      <c r="A58" s="84" t="s">
        <v>62</v>
      </c>
      <c r="B58" s="79" t="s">
        <v>13</v>
      </c>
      <c r="C58" s="80" t="s">
        <v>63</v>
      </c>
      <c r="D58" s="80" t="s">
        <v>64</v>
      </c>
      <c r="E58" s="80" t="s">
        <v>65</v>
      </c>
      <c r="F58" s="80" t="s">
        <v>66</v>
      </c>
      <c r="G58" s="80" t="s">
        <v>27</v>
      </c>
      <c r="H58" s="80" t="s">
        <v>68</v>
      </c>
      <c r="I58" s="80" t="s">
        <v>69</v>
      </c>
      <c r="J58" s="8" t="s">
        <v>70</v>
      </c>
    </row>
    <row r="59" spans="1:10">
      <c r="A59" s="427"/>
      <c r="B59" s="70" t="s">
        <v>104</v>
      </c>
      <c r="C59" s="72">
        <v>12</v>
      </c>
      <c r="D59" s="71">
        <v>2096</v>
      </c>
      <c r="E59" s="72">
        <v>1</v>
      </c>
      <c r="F59" s="71">
        <v>25152</v>
      </c>
      <c r="G59" s="71"/>
      <c r="H59" s="71">
        <v>1509.12</v>
      </c>
      <c r="I59" s="71">
        <v>4024.32</v>
      </c>
      <c r="J59" s="73">
        <v>30685.440000000002</v>
      </c>
    </row>
    <row r="60" spans="1:10">
      <c r="A60" s="428"/>
      <c r="B60" s="9" t="s">
        <v>105</v>
      </c>
      <c r="C60" s="10">
        <v>15</v>
      </c>
      <c r="D60" s="31">
        <v>3137</v>
      </c>
      <c r="E60" s="10">
        <v>1</v>
      </c>
      <c r="F60" s="31">
        <v>47055</v>
      </c>
      <c r="G60" s="31"/>
      <c r="H60" s="31">
        <v>2823.2999999999997</v>
      </c>
      <c r="I60" s="31">
        <v>7528.8</v>
      </c>
      <c r="J60" s="32">
        <v>57407.1</v>
      </c>
    </row>
    <row r="61" spans="1:10">
      <c r="A61" s="428"/>
      <c r="B61" s="9" t="s">
        <v>106</v>
      </c>
      <c r="C61" s="10">
        <v>1</v>
      </c>
      <c r="D61" s="31">
        <v>17205</v>
      </c>
      <c r="E61" s="10">
        <v>1</v>
      </c>
      <c r="F61" s="31">
        <v>17205</v>
      </c>
      <c r="G61" s="31"/>
      <c r="H61" s="31">
        <v>1032.3</v>
      </c>
      <c r="I61" s="31">
        <v>2752.8</v>
      </c>
      <c r="J61" s="32">
        <v>20990.1</v>
      </c>
    </row>
    <row r="62" spans="1:10">
      <c r="A62" s="428"/>
      <c r="B62" s="9" t="s">
        <v>107</v>
      </c>
      <c r="C62" s="10">
        <v>1</v>
      </c>
      <c r="D62" s="31">
        <v>18901</v>
      </c>
      <c r="E62" s="10">
        <v>1</v>
      </c>
      <c r="F62" s="31">
        <v>18901</v>
      </c>
      <c r="G62" s="31"/>
      <c r="H62" s="31">
        <v>1134.06</v>
      </c>
      <c r="I62" s="31">
        <v>3024.16</v>
      </c>
      <c r="J62" s="32">
        <v>23059.22</v>
      </c>
    </row>
    <row r="63" spans="1:10">
      <c r="A63" s="428"/>
      <c r="B63" s="42" t="s">
        <v>108</v>
      </c>
      <c r="C63" s="10">
        <v>1</v>
      </c>
      <c r="D63" s="63">
        <v>21011</v>
      </c>
      <c r="E63" s="10">
        <v>1</v>
      </c>
      <c r="F63" s="31">
        <v>21011</v>
      </c>
      <c r="G63" s="31"/>
      <c r="H63" s="31">
        <v>1260.6599999999999</v>
      </c>
      <c r="I63" s="31">
        <v>3361.76</v>
      </c>
      <c r="J63" s="32">
        <v>25633.42</v>
      </c>
    </row>
    <row r="64" spans="1:10">
      <c r="A64" s="428"/>
      <c r="B64" s="42" t="s">
        <v>109</v>
      </c>
      <c r="C64" s="10">
        <v>9</v>
      </c>
      <c r="D64" s="63">
        <v>2096</v>
      </c>
      <c r="E64" s="10">
        <v>1</v>
      </c>
      <c r="F64" s="31">
        <v>18864</v>
      </c>
      <c r="G64" s="31"/>
      <c r="H64" s="31">
        <v>1131.8399999999999</v>
      </c>
      <c r="I64" s="31">
        <v>3018.2400000000002</v>
      </c>
      <c r="J64" s="32">
        <v>23014.080000000002</v>
      </c>
    </row>
    <row r="65" spans="1:14">
      <c r="A65" s="429"/>
      <c r="B65" s="14" t="s">
        <v>110</v>
      </c>
      <c r="C65" s="15">
        <v>17</v>
      </c>
      <c r="D65" s="33">
        <v>3137</v>
      </c>
      <c r="E65" s="15">
        <v>1</v>
      </c>
      <c r="F65" s="33">
        <v>53329</v>
      </c>
      <c r="G65" s="33"/>
      <c r="H65" s="33">
        <v>3199.74</v>
      </c>
      <c r="I65" s="33">
        <v>8532.64</v>
      </c>
      <c r="J65" s="34">
        <v>65061.38</v>
      </c>
    </row>
    <row r="66" spans="1:14">
      <c r="A66" s="427"/>
      <c r="B66" s="77" t="s">
        <v>111</v>
      </c>
      <c r="C66" s="72">
        <v>1</v>
      </c>
      <c r="D66" s="71">
        <v>18901</v>
      </c>
      <c r="E66" s="72">
        <v>1</v>
      </c>
      <c r="F66" s="71">
        <v>18901</v>
      </c>
      <c r="G66" s="71"/>
      <c r="H66" s="71">
        <v>1134.06</v>
      </c>
      <c r="I66" s="71">
        <v>3024.16</v>
      </c>
      <c r="J66" s="73">
        <v>23059.22</v>
      </c>
    </row>
    <row r="67" spans="1:14">
      <c r="A67" s="429"/>
      <c r="B67" s="76" t="s">
        <v>112</v>
      </c>
      <c r="C67" s="57">
        <v>2</v>
      </c>
      <c r="D67" s="58">
        <v>21011</v>
      </c>
      <c r="E67" s="57">
        <v>1</v>
      </c>
      <c r="F67" s="58">
        <v>42022</v>
      </c>
      <c r="G67" s="58"/>
      <c r="H67" s="58">
        <v>2521.3199999999997</v>
      </c>
      <c r="I67" s="58">
        <v>6723.52</v>
      </c>
      <c r="J67" s="60">
        <v>51266.84</v>
      </c>
    </row>
    <row r="68" spans="1:14">
      <c r="A68" s="18"/>
      <c r="B68" s="19" t="s">
        <v>78</v>
      </c>
      <c r="C68" s="20"/>
      <c r="D68" s="21"/>
      <c r="E68" s="20"/>
      <c r="F68" s="27">
        <f>SUM(F59:F67)</f>
        <v>262440</v>
      </c>
      <c r="G68" s="27">
        <f t="shared" ref="G68:J68" si="22">SUM(G59:G67)</f>
        <v>0</v>
      </c>
      <c r="H68" s="27">
        <f t="shared" si="22"/>
        <v>15746.4</v>
      </c>
      <c r="I68" s="27">
        <f t="shared" si="22"/>
        <v>41990.400000000009</v>
      </c>
      <c r="J68" s="27">
        <f t="shared" si="22"/>
        <v>320176.80000000005</v>
      </c>
    </row>
    <row r="69" spans="1:14">
      <c r="A69" s="23"/>
      <c r="B69" s="28" t="s">
        <v>113</v>
      </c>
      <c r="C69" s="82"/>
      <c r="D69" s="83"/>
      <c r="E69" s="82"/>
      <c r="F69" s="83">
        <f>F68</f>
        <v>262440</v>
      </c>
      <c r="G69" s="83">
        <f t="shared" ref="G69:J69" si="23">G68</f>
        <v>0</v>
      </c>
      <c r="H69" s="83">
        <f t="shared" si="23"/>
        <v>15746.4</v>
      </c>
      <c r="I69" s="83">
        <f t="shared" si="23"/>
        <v>41990.400000000009</v>
      </c>
      <c r="J69" s="37">
        <f t="shared" si="23"/>
        <v>320176.80000000005</v>
      </c>
    </row>
    <row r="70" spans="1:14">
      <c r="A70" s="23"/>
      <c r="B70" s="29"/>
      <c r="C70" s="20"/>
      <c r="D70" s="30"/>
      <c r="E70" s="20"/>
      <c r="F70" s="30"/>
      <c r="G70" s="30"/>
      <c r="H70" s="30"/>
      <c r="I70" s="30"/>
      <c r="J70" s="30"/>
    </row>
    <row r="71" spans="1:14">
      <c r="A71" s="431" t="s">
        <v>114</v>
      </c>
      <c r="B71" s="432"/>
      <c r="C71" s="7"/>
      <c r="D71" s="7"/>
      <c r="E71" s="7"/>
      <c r="F71" s="7"/>
      <c r="G71" s="7"/>
      <c r="H71" s="7"/>
      <c r="I71" s="7"/>
      <c r="J71" s="7"/>
    </row>
    <row r="72" spans="1:14">
      <c r="A72" s="66" t="s">
        <v>62</v>
      </c>
      <c r="B72" s="67" t="s">
        <v>13</v>
      </c>
      <c r="C72" s="68" t="s">
        <v>63</v>
      </c>
      <c r="D72" s="68" t="s">
        <v>64</v>
      </c>
      <c r="E72" s="68" t="s">
        <v>65</v>
      </c>
      <c r="F72" s="68" t="s">
        <v>66</v>
      </c>
      <c r="G72" s="68" t="s">
        <v>27</v>
      </c>
      <c r="H72" s="68" t="s">
        <v>68</v>
      </c>
      <c r="I72" s="68" t="s">
        <v>69</v>
      </c>
      <c r="J72" s="69" t="s">
        <v>70</v>
      </c>
    </row>
    <row r="73" spans="1:14" s="41" customFormat="1">
      <c r="A73" s="50"/>
      <c r="B73" s="42"/>
      <c r="C73" s="43"/>
      <c r="D73" s="63"/>
      <c r="E73" s="43"/>
      <c r="F73" s="63"/>
      <c r="G73" s="63"/>
      <c r="H73" s="63"/>
      <c r="I73" s="63"/>
      <c r="J73" s="64"/>
    </row>
    <row r="74" spans="1:14" s="41" customFormat="1">
      <c r="A74" s="50"/>
      <c r="B74" s="42"/>
      <c r="C74" s="43"/>
      <c r="D74" s="63"/>
      <c r="E74" s="43"/>
      <c r="F74" s="63"/>
      <c r="G74" s="63"/>
      <c r="H74" s="63"/>
      <c r="I74" s="63"/>
      <c r="J74" s="64"/>
    </row>
    <row r="75" spans="1:14" s="41" customFormat="1">
      <c r="A75" s="13"/>
      <c r="B75" s="14"/>
      <c r="C75" s="15"/>
      <c r="D75" s="33"/>
      <c r="E75" s="15"/>
      <c r="F75" s="33">
        <f t="shared" ref="F75" si="24">E75+D75+C75</f>
        <v>0</v>
      </c>
      <c r="G75" s="33"/>
      <c r="H75" s="33"/>
      <c r="I75" s="33">
        <f t="shared" ref="I75" si="25">F75*16%</f>
        <v>0</v>
      </c>
      <c r="J75" s="34">
        <f t="shared" ref="J75" si="26">I75+H75+G75+F75</f>
        <v>0</v>
      </c>
    </row>
    <row r="76" spans="1:14">
      <c r="A76" s="18"/>
      <c r="B76" s="19" t="s">
        <v>78</v>
      </c>
      <c r="C76" s="20"/>
      <c r="D76" s="21"/>
      <c r="E76" s="20"/>
      <c r="F76" s="22">
        <f>SUM(F73:F75)</f>
        <v>0</v>
      </c>
      <c r="G76" s="22">
        <f>SUM(G73:G75)</f>
        <v>0</v>
      </c>
      <c r="H76" s="22">
        <f>SUM(H73:H75)</f>
        <v>0</v>
      </c>
      <c r="I76" s="22">
        <f>SUM(I73:I75)</f>
        <v>0</v>
      </c>
      <c r="J76" s="22">
        <f>SUM(J73:J75)</f>
        <v>0</v>
      </c>
    </row>
    <row r="77" spans="1:14">
      <c r="A77" s="23"/>
      <c r="B77" s="28" t="s">
        <v>173</v>
      </c>
      <c r="C77" s="82"/>
      <c r="D77" s="83"/>
      <c r="E77" s="82"/>
      <c r="F77" s="83">
        <f>SUM(F76)</f>
        <v>0</v>
      </c>
      <c r="G77" s="83">
        <f t="shared" ref="G77:J77" si="27">SUM(G76)</f>
        <v>0</v>
      </c>
      <c r="H77" s="83">
        <f t="shared" si="27"/>
        <v>0</v>
      </c>
      <c r="I77" s="83">
        <f t="shared" si="27"/>
        <v>0</v>
      </c>
      <c r="J77" s="83">
        <f t="shared" si="27"/>
        <v>0</v>
      </c>
    </row>
    <row r="78" spans="1:14">
      <c r="A78" s="23"/>
      <c r="B78" s="29"/>
      <c r="C78" s="20"/>
      <c r="D78" s="30"/>
      <c r="E78" s="20"/>
      <c r="F78" s="30"/>
      <c r="G78" s="30"/>
      <c r="H78" s="30"/>
      <c r="I78" s="30"/>
      <c r="J78" s="30"/>
      <c r="N78" t="s">
        <v>116</v>
      </c>
    </row>
    <row r="79" spans="1:14">
      <c r="A79" s="431" t="s">
        <v>117</v>
      </c>
      <c r="B79" s="432"/>
      <c r="C79" s="7"/>
      <c r="D79" s="7"/>
      <c r="E79" s="7"/>
      <c r="F79" s="7"/>
      <c r="G79" s="7"/>
      <c r="H79" s="7"/>
      <c r="I79" s="7"/>
      <c r="J79" s="7"/>
    </row>
    <row r="80" spans="1:14">
      <c r="A80" s="78" t="s">
        <v>62</v>
      </c>
      <c r="B80" s="79" t="s">
        <v>13</v>
      </c>
      <c r="C80" s="80" t="s">
        <v>63</v>
      </c>
      <c r="D80" s="80" t="s">
        <v>64</v>
      </c>
      <c r="E80" s="80" t="s">
        <v>65</v>
      </c>
      <c r="F80" s="80" t="s">
        <v>66</v>
      </c>
      <c r="G80" s="80" t="s">
        <v>27</v>
      </c>
      <c r="H80" s="80" t="s">
        <v>68</v>
      </c>
      <c r="I80" s="80" t="s">
        <v>69</v>
      </c>
      <c r="J80" s="8" t="s">
        <v>70</v>
      </c>
      <c r="N80" t="s">
        <v>116</v>
      </c>
    </row>
    <row r="81" spans="1:10" s="41" customFormat="1" ht="24.75">
      <c r="A81" s="427" t="s">
        <v>74</v>
      </c>
      <c r="B81" s="269" t="s">
        <v>118</v>
      </c>
      <c r="C81" s="72">
        <v>410</v>
      </c>
      <c r="D81" s="74">
        <v>120</v>
      </c>
      <c r="E81" s="72">
        <v>0</v>
      </c>
      <c r="F81" s="71">
        <f t="shared" ref="F81:F95" si="28">SUM(C81*D81*E81)</f>
        <v>0</v>
      </c>
      <c r="G81" s="71"/>
      <c r="H81" s="71"/>
      <c r="I81" s="71">
        <f>F81*16%</f>
        <v>0</v>
      </c>
      <c r="J81" s="73">
        <f>I81+H81+G81+F81</f>
        <v>0</v>
      </c>
    </row>
    <row r="82" spans="1:10" s="41" customFormat="1" ht="54.75" customHeight="1">
      <c r="A82" s="428"/>
      <c r="B82" s="132" t="s">
        <v>274</v>
      </c>
      <c r="C82" s="10">
        <v>1</v>
      </c>
      <c r="D82" s="31">
        <f>800*20</f>
        <v>16000</v>
      </c>
      <c r="E82" s="10">
        <v>0</v>
      </c>
      <c r="F82" s="31">
        <f>SUM(C82*D82*E82)</f>
        <v>0</v>
      </c>
      <c r="G82" s="31"/>
      <c r="H82" s="31"/>
      <c r="I82" s="31">
        <f>F82*16%</f>
        <v>0</v>
      </c>
      <c r="J82" s="32">
        <f>I82+H82+G82+F82</f>
        <v>0</v>
      </c>
    </row>
    <row r="83" spans="1:10" s="41" customFormat="1" ht="57" customHeight="1">
      <c r="A83" s="428"/>
      <c r="B83" s="132" t="s">
        <v>275</v>
      </c>
      <c r="C83" s="10">
        <v>1</v>
      </c>
      <c r="D83" s="11">
        <v>380</v>
      </c>
      <c r="E83" s="10">
        <v>0</v>
      </c>
      <c r="F83" s="31">
        <f t="shared" si="28"/>
        <v>0</v>
      </c>
      <c r="G83" s="31"/>
      <c r="H83" s="31"/>
      <c r="I83" s="31">
        <f t="shared" ref="I83:I95" si="29">F83*16%</f>
        <v>0</v>
      </c>
      <c r="J83" s="32">
        <f t="shared" ref="J83:J95" si="30">I83+H83+G83+F83</f>
        <v>0</v>
      </c>
    </row>
    <row r="84" spans="1:10" s="41" customFormat="1" ht="50.25" customHeight="1">
      <c r="A84" s="428"/>
      <c r="B84" s="132" t="s">
        <v>276</v>
      </c>
      <c r="C84" s="10">
        <v>1</v>
      </c>
      <c r="D84" s="11">
        <v>700</v>
      </c>
      <c r="E84" s="10">
        <v>0</v>
      </c>
      <c r="F84" s="31">
        <f t="shared" si="28"/>
        <v>0</v>
      </c>
      <c r="G84" s="31"/>
      <c r="H84" s="31"/>
      <c r="I84" s="31">
        <f t="shared" si="29"/>
        <v>0</v>
      </c>
      <c r="J84" s="32">
        <f t="shared" si="30"/>
        <v>0</v>
      </c>
    </row>
    <row r="85" spans="1:10" s="41" customFormat="1" ht="51" customHeight="1">
      <c r="A85" s="428"/>
      <c r="B85" s="132" t="s">
        <v>277</v>
      </c>
      <c r="C85" s="10">
        <v>1</v>
      </c>
      <c r="D85" s="11">
        <v>300</v>
      </c>
      <c r="E85" s="10">
        <v>0</v>
      </c>
      <c r="F85" s="31">
        <f t="shared" si="28"/>
        <v>0</v>
      </c>
      <c r="G85" s="31"/>
      <c r="H85" s="31"/>
      <c r="I85" s="31">
        <f t="shared" si="29"/>
        <v>0</v>
      </c>
      <c r="J85" s="32">
        <f t="shared" si="30"/>
        <v>0</v>
      </c>
    </row>
    <row r="86" spans="1:10" s="41" customFormat="1" ht="39" customHeight="1">
      <c r="A86" s="428"/>
      <c r="B86" s="132" t="s">
        <v>278</v>
      </c>
      <c r="C86" s="10">
        <v>1</v>
      </c>
      <c r="D86" s="11">
        <f>38*20</f>
        <v>760</v>
      </c>
      <c r="E86" s="10">
        <v>0</v>
      </c>
      <c r="F86" s="31">
        <f t="shared" si="28"/>
        <v>0</v>
      </c>
      <c r="G86" s="31"/>
      <c r="H86" s="31"/>
      <c r="I86" s="31">
        <f t="shared" si="29"/>
        <v>0</v>
      </c>
      <c r="J86" s="32">
        <f t="shared" si="30"/>
        <v>0</v>
      </c>
    </row>
    <row r="87" spans="1:10" s="41" customFormat="1" ht="62.45" customHeight="1">
      <c r="A87" s="93" t="s">
        <v>71</v>
      </c>
      <c r="B87" s="127" t="s">
        <v>279</v>
      </c>
      <c r="C87" s="94">
        <v>1</v>
      </c>
      <c r="D87" s="95">
        <v>0</v>
      </c>
      <c r="E87" s="94">
        <v>1</v>
      </c>
      <c r="F87" s="96">
        <f t="shared" si="28"/>
        <v>0</v>
      </c>
      <c r="G87" s="96"/>
      <c r="H87" s="96"/>
      <c r="I87" s="96">
        <f t="shared" si="29"/>
        <v>0</v>
      </c>
      <c r="J87" s="97">
        <f t="shared" si="30"/>
        <v>0</v>
      </c>
    </row>
    <row r="88" spans="1:10" s="41" customFormat="1" ht="36.75" customHeight="1">
      <c r="A88" s="75" t="s">
        <v>83</v>
      </c>
      <c r="B88" s="126" t="s">
        <v>280</v>
      </c>
      <c r="C88" s="57">
        <v>1</v>
      </c>
      <c r="D88" s="59">
        <v>0</v>
      </c>
      <c r="E88" s="57">
        <v>1</v>
      </c>
      <c r="F88" s="58">
        <f t="shared" si="28"/>
        <v>0</v>
      </c>
      <c r="G88" s="58"/>
      <c r="H88" s="58"/>
      <c r="I88" s="58">
        <f t="shared" si="29"/>
        <v>0</v>
      </c>
      <c r="J88" s="60">
        <f t="shared" si="30"/>
        <v>0</v>
      </c>
    </row>
    <row r="89" spans="1:10" s="41" customFormat="1" ht="36.75">
      <c r="A89" s="433" t="s">
        <v>127</v>
      </c>
      <c r="B89" s="128" t="s">
        <v>281</v>
      </c>
      <c r="C89" s="72">
        <v>1</v>
      </c>
      <c r="D89" s="74">
        <v>0</v>
      </c>
      <c r="E89" s="72">
        <v>3</v>
      </c>
      <c r="F89" s="71">
        <f t="shared" si="28"/>
        <v>0</v>
      </c>
      <c r="G89" s="71"/>
      <c r="H89" s="71"/>
      <c r="I89" s="71">
        <f t="shared" si="29"/>
        <v>0</v>
      </c>
      <c r="J89" s="73">
        <f t="shared" si="30"/>
        <v>0</v>
      </c>
    </row>
    <row r="90" spans="1:10" s="41" customFormat="1" ht="36.75">
      <c r="A90" s="428"/>
      <c r="B90" s="129" t="s">
        <v>282</v>
      </c>
      <c r="C90" s="10">
        <v>1</v>
      </c>
      <c r="D90" s="11">
        <v>0</v>
      </c>
      <c r="E90" s="10">
        <v>3</v>
      </c>
      <c r="F90" s="31">
        <f t="shared" si="28"/>
        <v>0</v>
      </c>
      <c r="G90" s="31"/>
      <c r="H90" s="31"/>
      <c r="I90" s="31">
        <f t="shared" si="29"/>
        <v>0</v>
      </c>
      <c r="J90" s="32">
        <f t="shared" si="30"/>
        <v>0</v>
      </c>
    </row>
    <row r="91" spans="1:10" s="41" customFormat="1" ht="36.75">
      <c r="A91" s="428"/>
      <c r="B91" s="129" t="s">
        <v>283</v>
      </c>
      <c r="C91" s="10">
        <v>1</v>
      </c>
      <c r="D91" s="11">
        <v>0</v>
      </c>
      <c r="E91" s="10">
        <v>3</v>
      </c>
      <c r="F91" s="31">
        <f t="shared" si="28"/>
        <v>0</v>
      </c>
      <c r="G91" s="31"/>
      <c r="H91" s="31"/>
      <c r="I91" s="31">
        <f t="shared" si="29"/>
        <v>0</v>
      </c>
      <c r="J91" s="32">
        <f t="shared" si="30"/>
        <v>0</v>
      </c>
    </row>
    <row r="92" spans="1:10" s="41" customFormat="1" ht="36.75">
      <c r="A92" s="428"/>
      <c r="B92" s="129" t="s">
        <v>284</v>
      </c>
      <c r="C92" s="10">
        <v>1</v>
      </c>
      <c r="D92" s="11">
        <v>0</v>
      </c>
      <c r="E92" s="10">
        <v>3</v>
      </c>
      <c r="F92" s="31">
        <f t="shared" si="28"/>
        <v>0</v>
      </c>
      <c r="G92" s="31"/>
      <c r="H92" s="31"/>
      <c r="I92" s="31">
        <f t="shared" si="29"/>
        <v>0</v>
      </c>
      <c r="J92" s="32">
        <f t="shared" si="30"/>
        <v>0</v>
      </c>
    </row>
    <row r="93" spans="1:10" s="41" customFormat="1" ht="36.75">
      <c r="A93" s="428"/>
      <c r="B93" s="129" t="s">
        <v>285</v>
      </c>
      <c r="C93" s="10">
        <v>1</v>
      </c>
      <c r="D93" s="11">
        <v>0</v>
      </c>
      <c r="E93" s="10">
        <v>3</v>
      </c>
      <c r="F93" s="31">
        <f t="shared" si="28"/>
        <v>0</v>
      </c>
      <c r="G93" s="31"/>
      <c r="H93" s="31"/>
      <c r="I93" s="31">
        <f t="shared" si="29"/>
        <v>0</v>
      </c>
      <c r="J93" s="32">
        <f t="shared" si="30"/>
        <v>0</v>
      </c>
    </row>
    <row r="94" spans="1:10" s="41" customFormat="1" ht="36.75">
      <c r="A94" s="428"/>
      <c r="B94" s="129" t="s">
        <v>286</v>
      </c>
      <c r="C94" s="10">
        <v>1</v>
      </c>
      <c r="D94" s="11">
        <v>0</v>
      </c>
      <c r="E94" s="10">
        <v>3</v>
      </c>
      <c r="F94" s="31">
        <f t="shared" si="28"/>
        <v>0</v>
      </c>
      <c r="G94" s="31"/>
      <c r="H94" s="31"/>
      <c r="I94" s="31">
        <f t="shared" si="29"/>
        <v>0</v>
      </c>
      <c r="J94" s="32">
        <f t="shared" si="30"/>
        <v>0</v>
      </c>
    </row>
    <row r="95" spans="1:10" s="41" customFormat="1" ht="36.75">
      <c r="A95" s="429"/>
      <c r="B95" s="244" t="s">
        <v>287</v>
      </c>
      <c r="C95" s="15">
        <v>1</v>
      </c>
      <c r="D95" s="16">
        <v>0</v>
      </c>
      <c r="E95" s="15">
        <v>3</v>
      </c>
      <c r="F95" s="33">
        <f t="shared" si="28"/>
        <v>0</v>
      </c>
      <c r="G95" s="33"/>
      <c r="H95" s="33"/>
      <c r="I95" s="33">
        <f t="shared" si="29"/>
        <v>0</v>
      </c>
      <c r="J95" s="34">
        <f t="shared" si="30"/>
        <v>0</v>
      </c>
    </row>
    <row r="96" spans="1:10">
      <c r="A96" s="18"/>
      <c r="B96" s="19" t="s">
        <v>78</v>
      </c>
      <c r="C96" s="20"/>
      <c r="D96" s="21"/>
      <c r="E96" s="20"/>
      <c r="F96" s="38">
        <f>SUM(F81:F95)</f>
        <v>0</v>
      </c>
      <c r="G96" s="38">
        <f>SUM(G81:G95)</f>
        <v>0</v>
      </c>
      <c r="H96" s="38">
        <f>SUM(H81:H95)</f>
        <v>0</v>
      </c>
      <c r="I96" s="38">
        <f>SUM(I81:I95)</f>
        <v>0</v>
      </c>
      <c r="J96" s="38">
        <f>SUM(J81:J95)</f>
        <v>0</v>
      </c>
    </row>
    <row r="97" spans="1:10">
      <c r="A97" s="23"/>
      <c r="B97" s="28" t="s">
        <v>135</v>
      </c>
      <c r="C97" s="82"/>
      <c r="D97" s="83"/>
      <c r="E97" s="82"/>
      <c r="F97" s="83">
        <f>F96</f>
        <v>0</v>
      </c>
      <c r="G97" s="83">
        <f>G96</f>
        <v>0</v>
      </c>
      <c r="H97" s="83">
        <f>H96</f>
        <v>0</v>
      </c>
      <c r="I97" s="83">
        <f>I96</f>
        <v>0</v>
      </c>
      <c r="J97" s="37">
        <f>J96</f>
        <v>0</v>
      </c>
    </row>
    <row r="98" spans="1:10">
      <c r="A98" s="23"/>
      <c r="B98" s="29"/>
      <c r="C98" s="20"/>
      <c r="D98" s="30"/>
      <c r="E98" s="20"/>
      <c r="F98" s="30"/>
      <c r="G98" s="30"/>
      <c r="H98" s="30"/>
      <c r="I98" s="30"/>
      <c r="J98" s="30"/>
    </row>
    <row r="99" spans="1:10">
      <c r="A99" s="431" t="s">
        <v>136</v>
      </c>
      <c r="B99" s="432"/>
      <c r="C99" s="7"/>
      <c r="D99" s="7"/>
      <c r="E99" s="7"/>
      <c r="F99" s="7"/>
      <c r="G99" s="7"/>
      <c r="H99" s="7"/>
      <c r="I99" s="7"/>
      <c r="J99" s="7"/>
    </row>
    <row r="100" spans="1:10">
      <c r="A100" s="78" t="s">
        <v>62</v>
      </c>
      <c r="B100" s="79" t="s">
        <v>13</v>
      </c>
      <c r="C100" s="80" t="s">
        <v>63</v>
      </c>
      <c r="D100" s="80" t="s">
        <v>64</v>
      </c>
      <c r="E100" s="80" t="s">
        <v>65</v>
      </c>
      <c r="F100" s="80" t="s">
        <v>66</v>
      </c>
      <c r="G100" s="80" t="s">
        <v>27</v>
      </c>
      <c r="H100" s="80" t="s">
        <v>68</v>
      </c>
      <c r="I100" s="80" t="s">
        <v>69</v>
      </c>
      <c r="J100" s="8" t="s">
        <v>70</v>
      </c>
    </row>
    <row r="101" spans="1:10" s="41" customFormat="1" ht="24.75">
      <c r="A101" s="434" t="s">
        <v>137</v>
      </c>
      <c r="B101" s="70" t="s">
        <v>138</v>
      </c>
      <c r="C101" s="72">
        <v>4</v>
      </c>
      <c r="D101" s="74">
        <v>8832.07</v>
      </c>
      <c r="E101" s="72">
        <v>5</v>
      </c>
      <c r="F101" s="74">
        <f>SUM(C101*D101*E101)</f>
        <v>176641.4</v>
      </c>
      <c r="G101" s="74">
        <f>220.8*C101*E101</f>
        <v>4416</v>
      </c>
      <c r="H101" s="74">
        <f>340*C101*E101</f>
        <v>6800</v>
      </c>
      <c r="I101" s="74">
        <f>(F101+G101+H101)*16%</f>
        <v>30057.184000000001</v>
      </c>
      <c r="J101" s="81">
        <f t="shared" ref="J101:J104" si="31">I101+H101+G101+F101</f>
        <v>217914.584</v>
      </c>
    </row>
    <row r="102" spans="1:10" s="41" customFormat="1">
      <c r="A102" s="435"/>
      <c r="B102" s="14" t="s">
        <v>73</v>
      </c>
      <c r="C102" s="15">
        <v>4</v>
      </c>
      <c r="D102" s="16">
        <v>85.4</v>
      </c>
      <c r="E102" s="15">
        <v>5</v>
      </c>
      <c r="F102" s="16"/>
      <c r="G102" s="16"/>
      <c r="H102" s="16">
        <f>E102*D102*C102</f>
        <v>1708</v>
      </c>
      <c r="I102" s="16">
        <v>0</v>
      </c>
      <c r="J102" s="17">
        <f t="shared" si="31"/>
        <v>1708</v>
      </c>
    </row>
    <row r="103" spans="1:10" s="41" customFormat="1" ht="24.75">
      <c r="A103" s="435"/>
      <c r="B103" s="70" t="s">
        <v>139</v>
      </c>
      <c r="C103" s="72">
        <v>1</v>
      </c>
      <c r="D103" s="74">
        <v>8832.07</v>
      </c>
      <c r="E103" s="72">
        <v>5</v>
      </c>
      <c r="F103" s="74">
        <f>SUM(C103*D103*E103)</f>
        <v>44160.35</v>
      </c>
      <c r="G103" s="74">
        <f>220.8*C103*E103</f>
        <v>1104</v>
      </c>
      <c r="H103" s="74">
        <f>340*C103*E103</f>
        <v>1700</v>
      </c>
      <c r="I103" s="74">
        <f>(F103+G103+H103)*16%</f>
        <v>7514.2960000000003</v>
      </c>
      <c r="J103" s="81">
        <f t="shared" si="31"/>
        <v>54478.646000000001</v>
      </c>
    </row>
    <row r="104" spans="1:10" s="41" customFormat="1">
      <c r="A104" s="435"/>
      <c r="B104" s="14" t="s">
        <v>73</v>
      </c>
      <c r="C104" s="15">
        <v>1</v>
      </c>
      <c r="D104" s="16">
        <v>85.4</v>
      </c>
      <c r="E104" s="15">
        <v>5</v>
      </c>
      <c r="F104" s="16"/>
      <c r="G104" s="16"/>
      <c r="H104" s="16">
        <f>E104*D104*C104</f>
        <v>427</v>
      </c>
      <c r="I104" s="16">
        <v>0</v>
      </c>
      <c r="J104" s="17">
        <f t="shared" si="31"/>
        <v>427</v>
      </c>
    </row>
    <row r="105" spans="1:10" s="41" customFormat="1">
      <c r="A105" s="435"/>
      <c r="B105" s="528" t="s">
        <v>140</v>
      </c>
      <c r="C105" s="529">
        <v>10</v>
      </c>
      <c r="D105" s="530">
        <v>6046</v>
      </c>
      <c r="E105" s="529">
        <v>1</v>
      </c>
      <c r="F105" s="530">
        <f>SUM(C105*D105*E105)</f>
        <v>60460</v>
      </c>
      <c r="G105" s="530">
        <v>0</v>
      </c>
      <c r="H105" s="530">
        <f>2355*C105</f>
        <v>23550</v>
      </c>
      <c r="I105" s="530">
        <f>968*C105</f>
        <v>9680</v>
      </c>
      <c r="J105" s="530">
        <f>I105+H105+G105+F105</f>
        <v>93690</v>
      </c>
    </row>
    <row r="106" spans="1:10" s="41" customFormat="1">
      <c r="A106" s="437"/>
      <c r="B106" s="528" t="s">
        <v>141</v>
      </c>
      <c r="C106" s="529">
        <v>10</v>
      </c>
      <c r="D106" s="530">
        <v>230</v>
      </c>
      <c r="E106" s="529">
        <v>1</v>
      </c>
      <c r="F106" s="530">
        <f>C106*D106*E106</f>
        <v>2300</v>
      </c>
      <c r="G106" s="530"/>
      <c r="H106" s="530"/>
      <c r="I106" s="530">
        <f>F106*16%</f>
        <v>368</v>
      </c>
      <c r="J106" s="530">
        <f>SUM(F106:I106)</f>
        <v>2668</v>
      </c>
    </row>
    <row r="107" spans="1:10" s="41" customFormat="1" ht="19.899999999999999" customHeight="1">
      <c r="A107" s="436"/>
      <c r="B107" s="177" t="s">
        <v>142</v>
      </c>
      <c r="C107" s="178">
        <v>10</v>
      </c>
      <c r="D107" s="179">
        <v>1500</v>
      </c>
      <c r="E107" s="178">
        <v>5</v>
      </c>
      <c r="F107" s="179">
        <f>SUM(C107*D107*E107)</f>
        <v>75000</v>
      </c>
      <c r="G107" s="179">
        <v>0</v>
      </c>
      <c r="H107" s="179">
        <v>0</v>
      </c>
      <c r="I107" s="179">
        <f>(F107*16%)+(G107*16%)+(H107*16%)</f>
        <v>12000</v>
      </c>
      <c r="J107" s="180">
        <f>I107+H107+G107+F107</f>
        <v>87000</v>
      </c>
    </row>
    <row r="108" spans="1:10">
      <c r="A108" s="18"/>
      <c r="B108" s="19" t="s">
        <v>78</v>
      </c>
      <c r="C108" s="35"/>
      <c r="D108" s="36"/>
      <c r="E108" s="35"/>
      <c r="F108" s="65">
        <f>SUM(F101:F107)</f>
        <v>358561.75</v>
      </c>
      <c r="G108" s="65">
        <f>SUM(G101:G107)</f>
        <v>5520</v>
      </c>
      <c r="H108" s="65">
        <f t="shared" ref="H108:J108" si="32">SUM(H101:H107)</f>
        <v>34185</v>
      </c>
      <c r="I108" s="65">
        <f t="shared" si="32"/>
        <v>59619.48</v>
      </c>
      <c r="J108" s="65">
        <f t="shared" si="32"/>
        <v>457886.23</v>
      </c>
    </row>
    <row r="109" spans="1:10" ht="25.5">
      <c r="A109" s="23"/>
      <c r="B109" s="28" t="s">
        <v>143</v>
      </c>
      <c r="C109" s="82"/>
      <c r="D109" s="83"/>
      <c r="E109" s="82"/>
      <c r="F109" s="83">
        <f>F108</f>
        <v>358561.75</v>
      </c>
      <c r="G109" s="83">
        <f>G108</f>
        <v>5520</v>
      </c>
      <c r="H109" s="83">
        <f>H108</f>
        <v>34185</v>
      </c>
      <c r="I109" s="83">
        <f>I108</f>
        <v>59619.48</v>
      </c>
      <c r="J109" s="83">
        <f>J108</f>
        <v>457886.23</v>
      </c>
    </row>
    <row r="110" spans="1:10">
      <c r="A110" s="23"/>
      <c r="B110" s="24"/>
      <c r="C110" s="25"/>
      <c r="D110" s="26"/>
      <c r="E110" s="25"/>
      <c r="F110" s="26"/>
      <c r="G110" s="26"/>
      <c r="H110" s="26"/>
      <c r="I110" s="26"/>
      <c r="J110" s="26"/>
    </row>
    <row r="111" spans="1:10" ht="22.5">
      <c r="A111" s="430" t="s">
        <v>1</v>
      </c>
      <c r="B111" s="430"/>
      <c r="C111" s="430"/>
      <c r="D111" s="430"/>
      <c r="E111" s="430"/>
      <c r="F111" s="26"/>
      <c r="G111" s="26"/>
      <c r="H111" s="26"/>
      <c r="I111" s="26"/>
      <c r="J111" s="26"/>
    </row>
    <row r="112" spans="1:10">
      <c r="A112" s="39"/>
      <c r="B112" s="85"/>
      <c r="C112" s="82"/>
      <c r="D112" s="83"/>
      <c r="E112" s="86" t="s">
        <v>144</v>
      </c>
      <c r="F112" s="83">
        <f>F28</f>
        <v>5892444.6000000006</v>
      </c>
      <c r="G112" s="83">
        <f>G28</f>
        <v>139802.4</v>
      </c>
      <c r="H112" s="83">
        <f>H28</f>
        <v>263851</v>
      </c>
      <c r="I112" s="83">
        <f>I28</f>
        <v>907958.30400000012</v>
      </c>
      <c r="J112" s="83">
        <f>SUM(F112:I112)</f>
        <v>7204056.3040000014</v>
      </c>
    </row>
    <row r="113" spans="1:10">
      <c r="A113" s="39"/>
      <c r="B113" s="85"/>
      <c r="C113" s="82"/>
      <c r="D113" s="83"/>
      <c r="E113" s="86" t="s">
        <v>145</v>
      </c>
      <c r="F113" s="83">
        <f>F54</f>
        <v>0</v>
      </c>
      <c r="G113" s="83">
        <f>G54</f>
        <v>0</v>
      </c>
      <c r="H113" s="83">
        <f>H54</f>
        <v>0</v>
      </c>
      <c r="I113" s="83">
        <f>I54</f>
        <v>0</v>
      </c>
      <c r="J113" s="83">
        <f>SUM(F113:I113)</f>
        <v>0</v>
      </c>
    </row>
    <row r="114" spans="1:10">
      <c r="A114" s="39"/>
      <c r="B114" s="85"/>
      <c r="C114" s="82"/>
      <c r="D114" s="83"/>
      <c r="E114" s="86" t="s">
        <v>146</v>
      </c>
      <c r="F114" s="83">
        <f>F69</f>
        <v>262440</v>
      </c>
      <c r="G114" s="83">
        <f>G69</f>
        <v>0</v>
      </c>
      <c r="H114" s="83">
        <f>H69</f>
        <v>15746.4</v>
      </c>
      <c r="I114" s="83">
        <f>I69</f>
        <v>41990.400000000009</v>
      </c>
      <c r="J114" s="83">
        <f>SUM(F114:I114)</f>
        <v>320176.80000000005</v>
      </c>
    </row>
    <row r="115" spans="1:10">
      <c r="A115" s="39"/>
      <c r="B115" s="85"/>
      <c r="C115" s="82"/>
      <c r="D115" s="83"/>
      <c r="E115" s="86" t="str">
        <f>A71</f>
        <v>TELEMARKETING</v>
      </c>
      <c r="F115" s="83">
        <f>F77</f>
        <v>0</v>
      </c>
      <c r="G115" s="83">
        <f>G77</f>
        <v>0</v>
      </c>
      <c r="H115" s="83">
        <f>H77</f>
        <v>0</v>
      </c>
      <c r="I115" s="83">
        <f>I77</f>
        <v>0</v>
      </c>
      <c r="J115" s="83">
        <f>SUM(F115:I115)</f>
        <v>0</v>
      </c>
    </row>
    <row r="116" spans="1:10">
      <c r="A116" s="39"/>
      <c r="B116" s="85"/>
      <c r="C116" s="82"/>
      <c r="D116" s="83"/>
      <c r="E116" s="86" t="s">
        <v>30</v>
      </c>
      <c r="F116" s="83">
        <f>F97</f>
        <v>0</v>
      </c>
      <c r="G116" s="83">
        <f>G97</f>
        <v>0</v>
      </c>
      <c r="H116" s="83">
        <f>H97</f>
        <v>0</v>
      </c>
      <c r="I116" s="83">
        <f>I97</f>
        <v>0</v>
      </c>
      <c r="J116" s="83">
        <f>SUM(F116:I116)</f>
        <v>0</v>
      </c>
    </row>
    <row r="117" spans="1:10">
      <c r="A117" s="40"/>
      <c r="B117" s="87"/>
      <c r="C117" s="88"/>
      <c r="D117" s="89"/>
      <c r="E117" s="90" t="s">
        <v>147</v>
      </c>
      <c r="F117" s="89">
        <f>SUM(F112:F116)</f>
        <v>6154884.6000000006</v>
      </c>
      <c r="G117" s="89">
        <f t="shared" ref="G117:I117" si="33">SUM(G112:G116)</f>
        <v>139802.4</v>
      </c>
      <c r="H117" s="89">
        <f t="shared" si="33"/>
        <v>279597.40000000002</v>
      </c>
      <c r="I117" s="89">
        <f t="shared" si="33"/>
        <v>949948.70400000014</v>
      </c>
      <c r="J117" s="89">
        <f>SUM(J112:J116)</f>
        <v>7524233.1040000012</v>
      </c>
    </row>
    <row r="118" spans="1:10">
      <c r="A118" s="39"/>
      <c r="B118" s="85"/>
      <c r="C118" s="82"/>
      <c r="D118" s="83"/>
      <c r="E118" s="86" t="s">
        <v>148</v>
      </c>
      <c r="F118" s="83">
        <f>(F112+F113+F114+F115+F116)*6%</f>
        <v>369293.076</v>
      </c>
      <c r="G118" s="83"/>
      <c r="H118" s="83"/>
      <c r="I118" s="83">
        <f>F118*16%</f>
        <v>59086.892160000003</v>
      </c>
      <c r="J118" s="83">
        <f>SUM(F118:I118)</f>
        <v>428379.96815999999</v>
      </c>
    </row>
    <row r="119" spans="1:10">
      <c r="A119" s="39"/>
      <c r="B119" s="85"/>
      <c r="C119" s="82"/>
      <c r="D119" s="83"/>
      <c r="E119" s="86" t="s">
        <v>149</v>
      </c>
      <c r="F119" s="83">
        <f>F109</f>
        <v>358561.75</v>
      </c>
      <c r="G119" s="83">
        <f>G109</f>
        <v>5520</v>
      </c>
      <c r="H119" s="83">
        <f>H109</f>
        <v>34185</v>
      </c>
      <c r="I119" s="83">
        <f>I109</f>
        <v>59619.48</v>
      </c>
      <c r="J119" s="83">
        <f>SUM(F119:I119)</f>
        <v>457886.23</v>
      </c>
    </row>
    <row r="120" spans="1:10">
      <c r="A120" s="40"/>
      <c r="B120" s="87"/>
      <c r="C120" s="88"/>
      <c r="D120" s="89"/>
      <c r="E120" s="90" t="s">
        <v>150</v>
      </c>
      <c r="F120" s="89">
        <f>SUM(F117:F119)</f>
        <v>6882739.4260000009</v>
      </c>
      <c r="G120" s="89">
        <f>SUM(G117:G119)</f>
        <v>145322.4</v>
      </c>
      <c r="H120" s="89">
        <f>SUM(H117:H119)</f>
        <v>313782.40000000002</v>
      </c>
      <c r="I120" s="89">
        <f>SUM(I117:I119)</f>
        <v>1068655.0761600002</v>
      </c>
      <c r="J120" s="89">
        <f>SUM(J117:J119)</f>
        <v>8410499.3021600004</v>
      </c>
    </row>
    <row r="122" spans="1:10">
      <c r="A122" s="98" t="s">
        <v>192</v>
      </c>
    </row>
    <row r="123" spans="1:10">
      <c r="A123" s="98" t="s">
        <v>151</v>
      </c>
    </row>
  </sheetData>
  <mergeCells count="28">
    <mergeCell ref="A89:A95"/>
    <mergeCell ref="A99:B99"/>
    <mergeCell ref="A101:A107"/>
    <mergeCell ref="A111:E111"/>
    <mergeCell ref="A57:B57"/>
    <mergeCell ref="A59:A65"/>
    <mergeCell ref="A66:A67"/>
    <mergeCell ref="A71:B71"/>
    <mergeCell ref="A79:B79"/>
    <mergeCell ref="A81:A86"/>
    <mergeCell ref="A47:A51"/>
    <mergeCell ref="B12:J12"/>
    <mergeCell ref="B13:J13"/>
    <mergeCell ref="F14:G14"/>
    <mergeCell ref="H14:J14"/>
    <mergeCell ref="A17:B17"/>
    <mergeCell ref="A19:A20"/>
    <mergeCell ref="A21:A25"/>
    <mergeCell ref="A31:B31"/>
    <mergeCell ref="A33:A34"/>
    <mergeCell ref="A35:A40"/>
    <mergeCell ref="A41:A46"/>
    <mergeCell ref="B11:J11"/>
    <mergeCell ref="A1:J5"/>
    <mergeCell ref="B7:J7"/>
    <mergeCell ref="B8:J8"/>
    <mergeCell ref="B9:J9"/>
    <mergeCell ref="B10:J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700B-6C75-4E77-AAE6-1AA55C7D090B}">
  <sheetPr>
    <tabColor theme="0"/>
  </sheetPr>
  <dimension ref="A1:N117"/>
  <sheetViews>
    <sheetView zoomScale="90" zoomScaleNormal="90" workbookViewId="0">
      <selection activeCell="B11" sqref="B11:J11"/>
    </sheetView>
  </sheetViews>
  <sheetFormatPr defaultColWidth="8.85546875" defaultRowHeight="15"/>
  <cols>
    <col min="1" max="1" width="20.7109375" customWidth="1"/>
    <col min="2" max="2" width="49.140625" customWidth="1"/>
    <col min="3" max="3" width="10.5703125" customWidth="1"/>
    <col min="4" max="5" width="13.85546875" customWidth="1"/>
    <col min="6" max="6" width="16.85546875" customWidth="1"/>
    <col min="7" max="8" width="13.85546875" customWidth="1"/>
    <col min="9" max="9" width="15.28515625" bestFit="1" customWidth="1"/>
    <col min="10" max="10" width="19.28515625" customWidth="1"/>
  </cols>
  <sheetData>
    <row r="1" spans="1:10">
      <c r="A1" s="438" t="s">
        <v>44</v>
      </c>
      <c r="B1" s="439"/>
      <c r="C1" s="439"/>
      <c r="D1" s="439"/>
      <c r="E1" s="439"/>
      <c r="F1" s="439"/>
      <c r="G1" s="439"/>
      <c r="H1" s="439"/>
      <c r="I1" s="439"/>
      <c r="J1" s="440"/>
    </row>
    <row r="2" spans="1:10">
      <c r="A2" s="441"/>
      <c r="B2" s="442"/>
      <c r="C2" s="442"/>
      <c r="D2" s="442"/>
      <c r="E2" s="442"/>
      <c r="F2" s="442"/>
      <c r="G2" s="442"/>
      <c r="H2" s="442"/>
      <c r="I2" s="442"/>
      <c r="J2" s="443"/>
    </row>
    <row r="3" spans="1:10">
      <c r="A3" s="441"/>
      <c r="B3" s="442"/>
      <c r="C3" s="442"/>
      <c r="D3" s="442"/>
      <c r="E3" s="442"/>
      <c r="F3" s="442"/>
      <c r="G3" s="442"/>
      <c r="H3" s="442"/>
      <c r="I3" s="442"/>
      <c r="J3" s="443"/>
    </row>
    <row r="4" spans="1:10">
      <c r="A4" s="441"/>
      <c r="B4" s="442"/>
      <c r="C4" s="442"/>
      <c r="D4" s="442"/>
      <c r="E4" s="442"/>
      <c r="F4" s="442"/>
      <c r="G4" s="442"/>
      <c r="H4" s="442"/>
      <c r="I4" s="442"/>
      <c r="J4" s="443"/>
    </row>
    <row r="5" spans="1:10">
      <c r="A5" s="444"/>
      <c r="B5" s="445"/>
      <c r="C5" s="445"/>
      <c r="D5" s="445"/>
      <c r="E5" s="445"/>
      <c r="F5" s="445"/>
      <c r="G5" s="445"/>
      <c r="H5" s="445"/>
      <c r="I5" s="445"/>
      <c r="J5" s="446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 customHeight="1">
      <c r="A7" s="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75">
      <c r="A8" s="2" t="s">
        <v>46</v>
      </c>
      <c r="B8" s="448" t="s">
        <v>288</v>
      </c>
      <c r="C8" s="448"/>
      <c r="D8" s="448"/>
      <c r="E8" s="448"/>
      <c r="F8" s="448"/>
      <c r="G8" s="448"/>
      <c r="H8" s="448"/>
      <c r="I8" s="448"/>
      <c r="J8" s="448"/>
    </row>
    <row r="9" spans="1:10" ht="15.75">
      <c r="A9" s="2" t="s">
        <v>48</v>
      </c>
      <c r="B9" s="449" t="s">
        <v>289</v>
      </c>
      <c r="C9" s="449"/>
      <c r="D9" s="449"/>
      <c r="E9" s="449"/>
      <c r="F9" s="449"/>
      <c r="G9" s="449"/>
      <c r="H9" s="449"/>
      <c r="I9" s="449"/>
      <c r="J9" s="449"/>
    </row>
    <row r="10" spans="1:10" ht="15.75">
      <c r="A10" s="2" t="s">
        <v>50</v>
      </c>
      <c r="B10" s="450" t="s">
        <v>195</v>
      </c>
      <c r="C10" s="450"/>
      <c r="D10" s="450"/>
      <c r="E10" s="450"/>
      <c r="F10" s="450"/>
      <c r="G10" s="450"/>
      <c r="H10" s="450"/>
      <c r="I10" s="450"/>
      <c r="J10" s="450"/>
    </row>
    <row r="11" spans="1:10" ht="15.75">
      <c r="A11" s="2" t="s">
        <v>52</v>
      </c>
      <c r="B11" s="450" t="s">
        <v>290</v>
      </c>
      <c r="C11" s="450"/>
      <c r="D11" s="450"/>
      <c r="E11" s="450"/>
      <c r="F11" s="450"/>
      <c r="G11" s="450"/>
      <c r="H11" s="450"/>
      <c r="I11" s="450"/>
      <c r="J11" s="450"/>
    </row>
    <row r="12" spans="1:10" ht="15.6" customHeight="1">
      <c r="A12" s="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2" t="s">
        <v>56</v>
      </c>
      <c r="B13" s="450"/>
      <c r="C13" s="450"/>
      <c r="D13" s="450"/>
      <c r="E13" s="450"/>
      <c r="F13" s="450"/>
      <c r="G13" s="450"/>
      <c r="H13" s="450"/>
      <c r="I13" s="450"/>
      <c r="J13" s="450"/>
    </row>
    <row r="14" spans="1:10">
      <c r="A14" s="3" t="s">
        <v>57</v>
      </c>
      <c r="B14" s="4" t="s">
        <v>58</v>
      </c>
      <c r="C14" s="5" t="s">
        <v>59</v>
      </c>
      <c r="D14" s="6">
        <v>0</v>
      </c>
      <c r="E14" s="7"/>
      <c r="F14" s="451" t="s">
        <v>60</v>
      </c>
      <c r="G14" s="451"/>
      <c r="H14" s="452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>
      <c r="A17" s="431" t="s">
        <v>61</v>
      </c>
      <c r="B17" s="432"/>
      <c r="C17" s="7"/>
      <c r="D17" s="7"/>
      <c r="E17" s="7"/>
      <c r="F17" s="7"/>
      <c r="G17" s="7"/>
      <c r="H17" s="7"/>
      <c r="I17" s="7"/>
      <c r="J17" s="7"/>
    </row>
    <row r="18" spans="1:10">
      <c r="A18" s="78" t="s">
        <v>62</v>
      </c>
      <c r="B18" s="79" t="s">
        <v>13</v>
      </c>
      <c r="C18" s="80" t="s">
        <v>63</v>
      </c>
      <c r="D18" s="80" t="s">
        <v>64</v>
      </c>
      <c r="E18" s="80" t="s">
        <v>65</v>
      </c>
      <c r="F18" s="80" t="s">
        <v>66</v>
      </c>
      <c r="G18" s="80" t="s">
        <v>67</v>
      </c>
      <c r="H18" s="80" t="s">
        <v>68</v>
      </c>
      <c r="I18" s="80" t="s">
        <v>69</v>
      </c>
      <c r="J18" s="8" t="s">
        <v>70</v>
      </c>
    </row>
    <row r="19" spans="1:10" s="41" customFormat="1">
      <c r="A19" s="427" t="s">
        <v>71</v>
      </c>
      <c r="B19" s="70" t="s">
        <v>72</v>
      </c>
      <c r="C19" s="72">
        <v>5</v>
      </c>
      <c r="D19" s="74">
        <v>7831.56</v>
      </c>
      <c r="E19" s="72">
        <v>1</v>
      </c>
      <c r="F19" s="74">
        <f>SUM(C19*D19*E19)</f>
        <v>39157.800000000003</v>
      </c>
      <c r="G19" s="74">
        <f>195.79*C19*E19</f>
        <v>978.94999999999993</v>
      </c>
      <c r="H19" s="74">
        <f>254.6*C19*E19</f>
        <v>1273</v>
      </c>
      <c r="I19" s="74">
        <f>(F19+G19+H19)*16%</f>
        <v>6625.56</v>
      </c>
      <c r="J19" s="81">
        <f>I19+H19+G19+F19</f>
        <v>48035.310000000005</v>
      </c>
    </row>
    <row r="20" spans="1:10" s="41" customFormat="1">
      <c r="A20" s="429"/>
      <c r="B20" s="14" t="s">
        <v>73</v>
      </c>
      <c r="C20" s="15">
        <v>5</v>
      </c>
      <c r="D20" s="16">
        <v>60</v>
      </c>
      <c r="E20" s="15">
        <v>1</v>
      </c>
      <c r="F20" s="16"/>
      <c r="G20" s="16"/>
      <c r="H20" s="16">
        <f>E20*D20*C20</f>
        <v>300</v>
      </c>
      <c r="I20" s="16">
        <v>0</v>
      </c>
      <c r="J20" s="17">
        <f t="shared" ref="J20:J25" si="0">I20+H20+G20+F20</f>
        <v>300</v>
      </c>
    </row>
    <row r="21" spans="1:10" s="41" customFormat="1" ht="14.45" customHeight="1">
      <c r="A21" s="427" t="s">
        <v>74</v>
      </c>
      <c r="B21" s="46" t="s">
        <v>72</v>
      </c>
      <c r="C21" s="47">
        <v>30</v>
      </c>
      <c r="D21" s="48">
        <v>7831.56</v>
      </c>
      <c r="E21" s="47">
        <v>3</v>
      </c>
      <c r="F21" s="48">
        <f>SUM(C21*D21*E21)</f>
        <v>704840.4</v>
      </c>
      <c r="G21" s="74">
        <f>195.79*C21*E21</f>
        <v>17621.099999999999</v>
      </c>
      <c r="H21" s="74">
        <f>254.6*C21*E21</f>
        <v>22914</v>
      </c>
      <c r="I21" s="74">
        <f>(F21+G21+H21)*16%</f>
        <v>119260.08</v>
      </c>
      <c r="J21" s="49">
        <f>I21+H21+G21+F21</f>
        <v>864635.58000000007</v>
      </c>
    </row>
    <row r="22" spans="1:10" s="41" customFormat="1">
      <c r="A22" s="428"/>
      <c r="B22" s="9" t="s">
        <v>73</v>
      </c>
      <c r="C22" s="10">
        <v>30</v>
      </c>
      <c r="D22" s="11">
        <v>60</v>
      </c>
      <c r="E22" s="10">
        <v>3</v>
      </c>
      <c r="F22" s="11"/>
      <c r="G22" s="11"/>
      <c r="H22" s="11">
        <f>E22*D22*C22</f>
        <v>5400</v>
      </c>
      <c r="I22" s="11">
        <v>0</v>
      </c>
      <c r="J22" s="12">
        <f t="shared" ref="J22" si="1">I22+H22+G22+F22</f>
        <v>5400</v>
      </c>
    </row>
    <row r="23" spans="1:10" s="41" customFormat="1" ht="14.45" customHeight="1">
      <c r="A23" s="428"/>
      <c r="B23" s="70" t="s">
        <v>155</v>
      </c>
      <c r="C23" s="72">
        <v>190</v>
      </c>
      <c r="D23" s="74">
        <v>9627.68</v>
      </c>
      <c r="E23" s="72">
        <v>3</v>
      </c>
      <c r="F23" s="74">
        <f>SUM(C23*D23*E23)</f>
        <v>5487777.5999999996</v>
      </c>
      <c r="G23" s="74">
        <f>240.69*C23*E23</f>
        <v>137193.29999999999</v>
      </c>
      <c r="H23" s="74">
        <f>509.2*C23*E23</f>
        <v>290244</v>
      </c>
      <c r="I23" s="74">
        <f>(F23+G23+H23)*16%</f>
        <v>946434.38399999996</v>
      </c>
      <c r="J23" s="81">
        <f t="shared" si="0"/>
        <v>6861649.284</v>
      </c>
    </row>
    <row r="24" spans="1:10" s="41" customFormat="1">
      <c r="A24" s="428"/>
      <c r="B24" s="42" t="s">
        <v>73</v>
      </c>
      <c r="C24" s="43">
        <v>190</v>
      </c>
      <c r="D24" s="44">
        <v>60</v>
      </c>
      <c r="E24" s="43">
        <v>3</v>
      </c>
      <c r="F24" s="44"/>
      <c r="G24" s="44"/>
      <c r="H24" s="44">
        <f>E24*D24*C24</f>
        <v>34200</v>
      </c>
      <c r="I24" s="44">
        <v>0</v>
      </c>
      <c r="J24" s="45">
        <f t="shared" si="0"/>
        <v>34200</v>
      </c>
    </row>
    <row r="25" spans="1:10" s="41" customFormat="1" ht="27.6" customHeight="1">
      <c r="A25" s="429"/>
      <c r="B25" s="99" t="s">
        <v>76</v>
      </c>
      <c r="C25" s="100">
        <v>-6</v>
      </c>
      <c r="D25" s="101">
        <v>-7831.56</v>
      </c>
      <c r="E25" s="100">
        <v>-3</v>
      </c>
      <c r="F25" s="101">
        <f>SUM(C25*D25*E25)</f>
        <v>-140968.08000000002</v>
      </c>
      <c r="G25" s="248">
        <f>-195.79*C25*E25</f>
        <v>-3524.2200000000003</v>
      </c>
      <c r="H25" s="248">
        <f>-254.6*C25*E25</f>
        <v>-4582.7999999999993</v>
      </c>
      <c r="I25" s="248">
        <f>(F25+G25+H25)*16%</f>
        <v>-23852.016</v>
      </c>
      <c r="J25" s="102">
        <f t="shared" si="0"/>
        <v>-172927.11600000001</v>
      </c>
    </row>
    <row r="26" spans="1:10" s="41" customFormat="1" ht="27.6" customHeight="1">
      <c r="A26" s="418"/>
      <c r="B26" s="172" t="s">
        <v>77</v>
      </c>
      <c r="C26" s="173">
        <v>1</v>
      </c>
      <c r="D26" s="174">
        <v>50000</v>
      </c>
      <c r="E26" s="173">
        <v>1</v>
      </c>
      <c r="F26" s="174">
        <f>SUM(C26*D26*E26)</f>
        <v>50000</v>
      </c>
      <c r="G26" s="174">
        <f>195.79*C26*E26</f>
        <v>195.79</v>
      </c>
      <c r="H26" s="174">
        <f>254.6*C26*E26</f>
        <v>254.6</v>
      </c>
      <c r="I26" s="174">
        <f>(F26+G26+H26)*16%</f>
        <v>8072.0623999999998</v>
      </c>
      <c r="J26" s="175">
        <f>I26+H26+G26+F26</f>
        <v>58522.452400000002</v>
      </c>
    </row>
    <row r="27" spans="1:10">
      <c r="A27" s="18"/>
      <c r="B27" s="19" t="s">
        <v>78</v>
      </c>
      <c r="C27" s="20"/>
      <c r="D27" s="21"/>
      <c r="E27" s="20"/>
      <c r="F27" s="22">
        <f>SUM(F19:F26)</f>
        <v>6140807.7199999997</v>
      </c>
      <c r="G27" s="22">
        <f>SUM(G19:G26)</f>
        <v>152464.91999999998</v>
      </c>
      <c r="H27" s="22">
        <f>SUM(H19:H26)</f>
        <v>350002.8</v>
      </c>
      <c r="I27" s="22">
        <f>SUM(I19:I26)</f>
        <v>1056540.0704000001</v>
      </c>
      <c r="J27" s="22">
        <f>SUM(J19:J26)</f>
        <v>7699815.5104</v>
      </c>
    </row>
    <row r="28" spans="1:10">
      <c r="A28" s="23"/>
      <c r="B28" s="28" t="s">
        <v>79</v>
      </c>
      <c r="C28" s="82"/>
      <c r="D28" s="83"/>
      <c r="E28" s="82"/>
      <c r="F28" s="83">
        <f>F27</f>
        <v>6140807.7199999997</v>
      </c>
      <c r="G28" s="83">
        <f t="shared" ref="G28:J28" si="2">G27</f>
        <v>152464.91999999998</v>
      </c>
      <c r="H28" s="83">
        <f t="shared" si="2"/>
        <v>350002.8</v>
      </c>
      <c r="I28" s="83">
        <f t="shared" si="2"/>
        <v>1056540.0704000001</v>
      </c>
      <c r="J28" s="83">
        <f t="shared" si="2"/>
        <v>7699815.5104</v>
      </c>
    </row>
    <row r="29" spans="1:10">
      <c r="A29" s="18"/>
      <c r="B29" s="29"/>
      <c r="C29" s="20"/>
      <c r="D29" s="30"/>
      <c r="E29" s="20"/>
      <c r="F29" s="30"/>
      <c r="G29" s="30"/>
      <c r="H29" s="30"/>
      <c r="I29" s="30"/>
      <c r="J29" s="30"/>
    </row>
    <row r="30" spans="1:10">
      <c r="A30" s="18"/>
      <c r="B30" s="29"/>
      <c r="C30" s="20"/>
      <c r="D30" s="30"/>
      <c r="E30" s="20"/>
      <c r="F30" s="30"/>
      <c r="G30" s="30"/>
      <c r="H30" s="30"/>
      <c r="I30" s="30"/>
      <c r="J30" s="30"/>
    </row>
    <row r="31" spans="1:10">
      <c r="A31" s="431" t="s">
        <v>80</v>
      </c>
      <c r="B31" s="432"/>
      <c r="C31" s="7"/>
      <c r="D31" s="7"/>
      <c r="E31" s="7"/>
      <c r="F31" s="7"/>
      <c r="G31" s="7"/>
      <c r="H31" s="7"/>
      <c r="I31" s="7"/>
      <c r="J31" s="7"/>
    </row>
    <row r="32" spans="1:10">
      <c r="A32" s="78" t="s">
        <v>62</v>
      </c>
      <c r="B32" s="79" t="s">
        <v>13</v>
      </c>
      <c r="C32" s="80" t="s">
        <v>63</v>
      </c>
      <c r="D32" s="80" t="s">
        <v>64</v>
      </c>
      <c r="E32" s="80" t="s">
        <v>65</v>
      </c>
      <c r="F32" s="80" t="s">
        <v>66</v>
      </c>
      <c r="G32" s="80" t="s">
        <v>27</v>
      </c>
      <c r="H32" s="80" t="s">
        <v>68</v>
      </c>
      <c r="I32" s="80" t="s">
        <v>69</v>
      </c>
      <c r="J32" s="8" t="s">
        <v>70</v>
      </c>
    </row>
    <row r="33" spans="1:10" s="41" customFormat="1" ht="36.75">
      <c r="A33" s="434" t="s">
        <v>71</v>
      </c>
      <c r="B33" s="128" t="s">
        <v>81</v>
      </c>
      <c r="C33" s="72">
        <v>5</v>
      </c>
      <c r="D33" s="71">
        <v>0</v>
      </c>
      <c r="E33" s="72">
        <v>1</v>
      </c>
      <c r="F33" s="74">
        <f t="shared" ref="F33:F40" si="3">SUM(C33*D33*E33)</f>
        <v>0</v>
      </c>
      <c r="G33" s="71"/>
      <c r="H33" s="71">
        <f t="shared" ref="H33:H40" si="4">F33*15%</f>
        <v>0</v>
      </c>
      <c r="I33" s="71">
        <f t="shared" ref="I33:I40" si="5">(F33*16%)+(H33*16%)</f>
        <v>0</v>
      </c>
      <c r="J33" s="73">
        <f t="shared" ref="J33:J40" si="6">I33+H33+G33+F33</f>
        <v>0</v>
      </c>
    </row>
    <row r="34" spans="1:10" s="41" customFormat="1">
      <c r="A34" s="436"/>
      <c r="B34" s="126" t="s">
        <v>82</v>
      </c>
      <c r="C34" s="57">
        <v>5</v>
      </c>
      <c r="D34" s="58">
        <v>0</v>
      </c>
      <c r="E34" s="57">
        <v>1</v>
      </c>
      <c r="F34" s="59">
        <f t="shared" si="3"/>
        <v>0</v>
      </c>
      <c r="G34" s="58"/>
      <c r="H34" s="58">
        <f t="shared" si="4"/>
        <v>0</v>
      </c>
      <c r="I34" s="58">
        <f t="shared" si="5"/>
        <v>0</v>
      </c>
      <c r="J34" s="60">
        <f t="shared" si="6"/>
        <v>0</v>
      </c>
    </row>
    <row r="35" spans="1:10" s="41" customFormat="1" ht="36.75">
      <c r="A35" s="435" t="s">
        <v>83</v>
      </c>
      <c r="B35" s="260" t="s">
        <v>84</v>
      </c>
      <c r="C35" s="10">
        <v>5</v>
      </c>
      <c r="D35" s="31">
        <v>0</v>
      </c>
      <c r="E35" s="10">
        <v>1</v>
      </c>
      <c r="F35" s="48">
        <f t="shared" si="3"/>
        <v>0</v>
      </c>
      <c r="G35" s="31"/>
      <c r="H35" s="31">
        <f t="shared" si="4"/>
        <v>0</v>
      </c>
      <c r="I35" s="31">
        <f t="shared" si="5"/>
        <v>0</v>
      </c>
      <c r="J35" s="32">
        <f t="shared" si="6"/>
        <v>0</v>
      </c>
    </row>
    <row r="36" spans="1:10" s="41" customFormat="1" ht="24.75">
      <c r="A36" s="437"/>
      <c r="B36" s="260" t="s">
        <v>85</v>
      </c>
      <c r="C36" s="10">
        <v>410</v>
      </c>
      <c r="D36" s="31">
        <v>0</v>
      </c>
      <c r="E36" s="10">
        <v>1</v>
      </c>
      <c r="F36" s="48">
        <f t="shared" si="3"/>
        <v>0</v>
      </c>
      <c r="G36" s="31"/>
      <c r="H36" s="31">
        <f t="shared" si="4"/>
        <v>0</v>
      </c>
      <c r="I36" s="31">
        <f t="shared" si="5"/>
        <v>0</v>
      </c>
      <c r="J36" s="32">
        <f t="shared" si="6"/>
        <v>0</v>
      </c>
    </row>
    <row r="37" spans="1:10" s="41" customFormat="1" ht="54.75" customHeight="1">
      <c r="A37" s="437"/>
      <c r="B37" s="129" t="s">
        <v>267</v>
      </c>
      <c r="C37" s="10">
        <v>410</v>
      </c>
      <c r="D37" s="31">
        <v>0</v>
      </c>
      <c r="E37" s="10">
        <v>1</v>
      </c>
      <c r="F37" s="48">
        <f t="shared" si="3"/>
        <v>0</v>
      </c>
      <c r="G37" s="31"/>
      <c r="H37" s="31">
        <f>F37*15%</f>
        <v>0</v>
      </c>
      <c r="I37" s="31">
        <f>(F37*16%)+(H37*16%)</f>
        <v>0</v>
      </c>
      <c r="J37" s="32">
        <f t="shared" si="6"/>
        <v>0</v>
      </c>
    </row>
    <row r="38" spans="1:10" s="41" customFormat="1" ht="61.5">
      <c r="A38" s="437"/>
      <c r="B38" s="268" t="s">
        <v>268</v>
      </c>
      <c r="C38" s="43">
        <v>410</v>
      </c>
      <c r="D38" s="245">
        <v>300</v>
      </c>
      <c r="E38" s="43">
        <v>0</v>
      </c>
      <c r="F38" s="54">
        <f t="shared" si="3"/>
        <v>0</v>
      </c>
      <c r="G38" s="63"/>
      <c r="H38" s="63">
        <f>F38*15%</f>
        <v>0</v>
      </c>
      <c r="I38" s="63">
        <f>(F38*16%)+(H38*16%)</f>
        <v>0</v>
      </c>
      <c r="J38" s="64">
        <f t="shared" si="6"/>
        <v>0</v>
      </c>
    </row>
    <row r="39" spans="1:10" s="41" customFormat="1" ht="74.25" customHeight="1">
      <c r="A39" s="437"/>
      <c r="B39" s="267" t="s">
        <v>269</v>
      </c>
      <c r="C39" s="43">
        <v>410</v>
      </c>
      <c r="D39" s="63">
        <v>0</v>
      </c>
      <c r="E39" s="43">
        <v>1</v>
      </c>
      <c r="F39" s="44">
        <f t="shared" si="3"/>
        <v>0</v>
      </c>
      <c r="G39" s="63"/>
      <c r="H39" s="63">
        <f t="shared" ref="H39" si="7">F39*15%</f>
        <v>0</v>
      </c>
      <c r="I39" s="63">
        <f t="shared" ref="I39" si="8">(F39*16%)+(H39*16%)</f>
        <v>0</v>
      </c>
      <c r="J39" s="64">
        <f t="shared" si="6"/>
        <v>0</v>
      </c>
    </row>
    <row r="40" spans="1:10" s="41" customFormat="1" ht="45" customHeight="1">
      <c r="A40" s="437"/>
      <c r="B40" s="131" t="s">
        <v>270</v>
      </c>
      <c r="C40" s="43">
        <v>410</v>
      </c>
      <c r="D40" s="63">
        <v>0</v>
      </c>
      <c r="E40" s="43">
        <v>1</v>
      </c>
      <c r="F40" s="44">
        <f t="shared" si="3"/>
        <v>0</v>
      </c>
      <c r="G40" s="63"/>
      <c r="H40" s="63">
        <f t="shared" si="4"/>
        <v>0</v>
      </c>
      <c r="I40" s="63">
        <f t="shared" si="5"/>
        <v>0</v>
      </c>
      <c r="J40" s="64">
        <f t="shared" si="6"/>
        <v>0</v>
      </c>
    </row>
    <row r="41" spans="1:10" s="41" customFormat="1">
      <c r="A41" s="434" t="s">
        <v>92</v>
      </c>
      <c r="B41" s="128" t="s">
        <v>93</v>
      </c>
      <c r="C41" s="72">
        <v>410</v>
      </c>
      <c r="D41" s="71">
        <v>0</v>
      </c>
      <c r="E41" s="72">
        <v>1</v>
      </c>
      <c r="F41" s="74">
        <f>SUM(C41*D41*E41)</f>
        <v>0</v>
      </c>
      <c r="G41" s="71"/>
      <c r="H41" s="71">
        <f>F41*15%</f>
        <v>0</v>
      </c>
      <c r="I41" s="71">
        <f>(F41*16%)+(H41*16%)</f>
        <v>0</v>
      </c>
      <c r="J41" s="73">
        <f>I41+H41+G41+F41</f>
        <v>0</v>
      </c>
    </row>
    <row r="42" spans="1:10" s="41" customFormat="1" ht="57.75" customHeight="1">
      <c r="A42" s="437"/>
      <c r="B42" s="129" t="s">
        <v>271</v>
      </c>
      <c r="C42" s="10">
        <v>410</v>
      </c>
      <c r="D42" s="31">
        <v>0</v>
      </c>
      <c r="E42" s="10">
        <v>1</v>
      </c>
      <c r="F42" s="48">
        <f t="shared" ref="F42:F46" si="9">SUM(C42*D42*E42)</f>
        <v>0</v>
      </c>
      <c r="G42" s="31"/>
      <c r="H42" s="31">
        <f>F42*15%</f>
        <v>0</v>
      </c>
      <c r="I42" s="31">
        <f>(F42*16%)+(H42*16%)</f>
        <v>0</v>
      </c>
      <c r="J42" s="32">
        <f t="shared" ref="J42:J46" si="10">I42+H42+G42+F42</f>
        <v>0</v>
      </c>
    </row>
    <row r="43" spans="1:10" s="41" customFormat="1" ht="78.75" customHeight="1">
      <c r="A43" s="437"/>
      <c r="B43" s="268" t="s">
        <v>272</v>
      </c>
      <c r="C43" s="43">
        <v>410</v>
      </c>
      <c r="D43" s="245">
        <v>300</v>
      </c>
      <c r="E43" s="43">
        <v>0</v>
      </c>
      <c r="F43" s="48"/>
      <c r="G43" s="31"/>
      <c r="H43" s="31"/>
      <c r="I43" s="31"/>
      <c r="J43" s="32"/>
    </row>
    <row r="44" spans="1:10" s="41" customFormat="1" ht="24.75">
      <c r="A44" s="437"/>
      <c r="B44" s="260" t="s">
        <v>95</v>
      </c>
      <c r="C44" s="10">
        <v>410</v>
      </c>
      <c r="D44" s="243">
        <v>0</v>
      </c>
      <c r="E44" s="10">
        <v>1</v>
      </c>
      <c r="F44" s="48">
        <f t="shared" ref="F44" si="11">SUM(C44*D44*E44)</f>
        <v>0</v>
      </c>
      <c r="G44" s="31"/>
      <c r="H44" s="31">
        <f t="shared" ref="H44" si="12">F44*15%</f>
        <v>0</v>
      </c>
      <c r="I44" s="31">
        <f t="shared" ref="I44" si="13">(F44*16%)+(H44*16%)</f>
        <v>0</v>
      </c>
      <c r="J44" s="32">
        <f t="shared" ref="J44" si="14">I44+H44+G44+F44</f>
        <v>0</v>
      </c>
    </row>
    <row r="45" spans="1:10" s="41" customFormat="1" ht="61.5">
      <c r="A45" s="437"/>
      <c r="B45" s="268" t="s">
        <v>268</v>
      </c>
      <c r="C45" s="43">
        <v>410</v>
      </c>
      <c r="D45" s="245">
        <v>300</v>
      </c>
      <c r="E45" s="43">
        <v>0</v>
      </c>
      <c r="F45" s="48"/>
      <c r="G45" s="31"/>
      <c r="H45" s="31"/>
      <c r="I45" s="31"/>
      <c r="J45" s="32"/>
    </row>
    <row r="46" spans="1:10" s="41" customFormat="1" ht="49.9" customHeight="1">
      <c r="A46" s="437"/>
      <c r="B46" s="261" t="s">
        <v>97</v>
      </c>
      <c r="C46" s="43">
        <v>410</v>
      </c>
      <c r="D46" s="245">
        <v>0</v>
      </c>
      <c r="E46" s="43">
        <v>1</v>
      </c>
      <c r="F46" s="11">
        <f t="shared" si="9"/>
        <v>0</v>
      </c>
      <c r="G46" s="31"/>
      <c r="H46" s="31">
        <f t="shared" ref="H46" si="15">F46*15%</f>
        <v>0</v>
      </c>
      <c r="I46" s="31">
        <f t="shared" ref="I46" si="16">(F46*16%)+(H46*16%)</f>
        <v>0</v>
      </c>
      <c r="J46" s="32">
        <f t="shared" si="10"/>
        <v>0</v>
      </c>
    </row>
    <row r="47" spans="1:10" s="41" customFormat="1">
      <c r="A47" s="434" t="s">
        <v>98</v>
      </c>
      <c r="B47" s="262" t="s">
        <v>168</v>
      </c>
      <c r="C47" s="72">
        <v>410</v>
      </c>
      <c r="D47" s="499">
        <v>0</v>
      </c>
      <c r="E47" s="72"/>
      <c r="F47" s="74">
        <f>SUM(C47*D47*E47)</f>
        <v>0</v>
      </c>
      <c r="G47" s="71"/>
      <c r="H47" s="71">
        <f>F47*15%</f>
        <v>0</v>
      </c>
      <c r="I47" s="71">
        <f>(F47*16%)+(H47*16%)</f>
        <v>0</v>
      </c>
      <c r="J47" s="73">
        <f>I47+H47+G47+F47</f>
        <v>0</v>
      </c>
    </row>
    <row r="48" spans="1:10" s="41" customFormat="1" ht="58.5" customHeight="1">
      <c r="A48" s="435"/>
      <c r="B48" s="129" t="s">
        <v>267</v>
      </c>
      <c r="C48" s="10">
        <v>410</v>
      </c>
      <c r="D48" s="243">
        <v>0</v>
      </c>
      <c r="E48" s="10">
        <v>1</v>
      </c>
      <c r="F48" s="11">
        <f t="shared" ref="F48:F51" si="17">SUM(C48*D48*E48)</f>
        <v>0</v>
      </c>
      <c r="G48" s="31"/>
      <c r="H48" s="31">
        <f t="shared" ref="H48:H51" si="18">F48*15%</f>
        <v>0</v>
      </c>
      <c r="I48" s="31">
        <f t="shared" ref="I48:I51" si="19">(F48*16%)+(H48*16%)</f>
        <v>0</v>
      </c>
      <c r="J48" s="32">
        <f t="shared" ref="J48:J51" si="20">I48+H48+G48+F48</f>
        <v>0</v>
      </c>
    </row>
    <row r="49" spans="1:10" s="41" customFormat="1" ht="61.5">
      <c r="A49" s="435"/>
      <c r="B49" s="268" t="s">
        <v>272</v>
      </c>
      <c r="C49" s="43">
        <v>410</v>
      </c>
      <c r="D49" s="245">
        <v>300</v>
      </c>
      <c r="E49" s="43">
        <v>0</v>
      </c>
      <c r="F49" s="11">
        <f t="shared" si="17"/>
        <v>0</v>
      </c>
      <c r="G49" s="31"/>
      <c r="H49" s="31">
        <f t="shared" si="18"/>
        <v>0</v>
      </c>
      <c r="I49" s="31">
        <f t="shared" si="19"/>
        <v>0</v>
      </c>
      <c r="J49" s="32">
        <f t="shared" si="20"/>
        <v>0</v>
      </c>
    </row>
    <row r="50" spans="1:10" s="41" customFormat="1" ht="24.75">
      <c r="A50" s="435"/>
      <c r="B50" s="260" t="s">
        <v>85</v>
      </c>
      <c r="C50" s="10">
        <v>410</v>
      </c>
      <c r="D50" s="31">
        <v>0</v>
      </c>
      <c r="E50" s="10">
        <v>1</v>
      </c>
      <c r="F50" s="11">
        <f t="shared" si="17"/>
        <v>0</v>
      </c>
      <c r="G50" s="31"/>
      <c r="H50" s="31">
        <f t="shared" si="18"/>
        <v>0</v>
      </c>
      <c r="I50" s="31">
        <f t="shared" si="19"/>
        <v>0</v>
      </c>
      <c r="J50" s="32">
        <f t="shared" si="20"/>
        <v>0</v>
      </c>
    </row>
    <row r="51" spans="1:10" s="41" customFormat="1" ht="42" customHeight="1">
      <c r="A51" s="435"/>
      <c r="B51" s="131" t="s">
        <v>273</v>
      </c>
      <c r="C51" s="10">
        <v>410</v>
      </c>
      <c r="D51" s="31">
        <v>0</v>
      </c>
      <c r="E51" s="10">
        <v>1</v>
      </c>
      <c r="F51" s="11">
        <f t="shared" si="17"/>
        <v>0</v>
      </c>
      <c r="G51" s="31"/>
      <c r="H51" s="31">
        <f t="shared" si="18"/>
        <v>0</v>
      </c>
      <c r="I51" s="31">
        <f t="shared" si="19"/>
        <v>0</v>
      </c>
      <c r="J51" s="32">
        <f t="shared" si="20"/>
        <v>0</v>
      </c>
    </row>
    <row r="52" spans="1:10" s="41" customFormat="1">
      <c r="A52" s="75" t="s">
        <v>101</v>
      </c>
      <c r="B52" s="263" t="s">
        <v>93</v>
      </c>
      <c r="C52" s="57">
        <v>410</v>
      </c>
      <c r="D52" s="58">
        <v>0</v>
      </c>
      <c r="E52" s="57">
        <v>1</v>
      </c>
      <c r="F52" s="59">
        <f>SUM(C52*D52*E52)</f>
        <v>0</v>
      </c>
      <c r="G52" s="58"/>
      <c r="H52" s="58">
        <f>F52*15%</f>
        <v>0</v>
      </c>
      <c r="I52" s="58">
        <f>(F52*16%)+(H52*16%)</f>
        <v>0</v>
      </c>
      <c r="J52" s="60">
        <f>I52+H52+G52+F52</f>
        <v>0</v>
      </c>
    </row>
    <row r="53" spans="1:10">
      <c r="A53" s="18"/>
      <c r="B53" s="19" t="s">
        <v>78</v>
      </c>
      <c r="C53" s="20"/>
      <c r="D53" s="21"/>
      <c r="E53" s="20"/>
      <c r="F53" s="22">
        <f>SUM(F33:F52)</f>
        <v>0</v>
      </c>
      <c r="G53" s="22">
        <f>SUM(G33:G52)</f>
        <v>0</v>
      </c>
      <c r="H53" s="22">
        <f>SUM(H33:H52)</f>
        <v>0</v>
      </c>
      <c r="I53" s="22">
        <f>SUM(I33:I52)</f>
        <v>0</v>
      </c>
      <c r="J53" s="22">
        <f>SUM(J33:J52)</f>
        <v>0</v>
      </c>
    </row>
    <row r="54" spans="1:10">
      <c r="A54" s="23"/>
      <c r="B54" s="28" t="s">
        <v>102</v>
      </c>
      <c r="C54" s="82"/>
      <c r="D54" s="83"/>
      <c r="E54" s="82"/>
      <c r="F54" s="83">
        <f>F53</f>
        <v>0</v>
      </c>
      <c r="G54" s="83">
        <f t="shared" ref="G54:J54" si="21">G53</f>
        <v>0</v>
      </c>
      <c r="H54" s="83">
        <f t="shared" si="21"/>
        <v>0</v>
      </c>
      <c r="I54" s="83">
        <f t="shared" si="21"/>
        <v>0</v>
      </c>
      <c r="J54" s="83">
        <f t="shared" si="21"/>
        <v>0</v>
      </c>
    </row>
    <row r="55" spans="1:10">
      <c r="A55" s="18"/>
      <c r="B55" s="29"/>
      <c r="C55" s="20"/>
      <c r="D55" s="21"/>
      <c r="E55" s="20"/>
      <c r="F55" s="30"/>
      <c r="G55" s="30"/>
      <c r="H55" s="30"/>
      <c r="I55" s="30"/>
      <c r="J55" s="30"/>
    </row>
    <row r="56" spans="1:10">
      <c r="A56" s="18"/>
      <c r="B56" s="29"/>
      <c r="C56" s="20"/>
      <c r="D56" s="21"/>
      <c r="E56" s="20"/>
      <c r="F56" s="30"/>
      <c r="G56" s="30"/>
      <c r="H56" s="30"/>
      <c r="I56" s="30"/>
      <c r="J56" s="30"/>
    </row>
    <row r="57" spans="1:10">
      <c r="A57" s="431" t="s">
        <v>103</v>
      </c>
      <c r="B57" s="432"/>
      <c r="C57" s="7"/>
      <c r="D57" s="7"/>
      <c r="E57" s="7"/>
      <c r="F57" s="7"/>
      <c r="G57" s="7"/>
      <c r="H57" s="7"/>
      <c r="I57" s="7"/>
      <c r="J57" s="7"/>
    </row>
    <row r="58" spans="1:10">
      <c r="A58" s="84" t="s">
        <v>62</v>
      </c>
      <c r="B58" s="79" t="s">
        <v>13</v>
      </c>
      <c r="C58" s="80" t="s">
        <v>63</v>
      </c>
      <c r="D58" s="80" t="s">
        <v>64</v>
      </c>
      <c r="E58" s="80" t="s">
        <v>65</v>
      </c>
      <c r="F58" s="80" t="s">
        <v>66</v>
      </c>
      <c r="G58" s="80" t="s">
        <v>27</v>
      </c>
      <c r="H58" s="80" t="s">
        <v>68</v>
      </c>
      <c r="I58" s="80" t="s">
        <v>69</v>
      </c>
      <c r="J58" s="8" t="s">
        <v>70</v>
      </c>
    </row>
    <row r="59" spans="1:10">
      <c r="A59" s="427"/>
      <c r="B59" s="70" t="s">
        <v>104</v>
      </c>
      <c r="C59" s="72">
        <v>12</v>
      </c>
      <c r="D59" s="71">
        <v>2096</v>
      </c>
      <c r="E59" s="72">
        <v>1</v>
      </c>
      <c r="F59" s="71">
        <v>25152</v>
      </c>
      <c r="G59" s="71"/>
      <c r="H59" s="71">
        <v>1509.12</v>
      </c>
      <c r="I59" s="71">
        <v>4024.32</v>
      </c>
      <c r="J59" s="73">
        <v>30685.440000000002</v>
      </c>
    </row>
    <row r="60" spans="1:10">
      <c r="A60" s="428"/>
      <c r="B60" s="9" t="s">
        <v>105</v>
      </c>
      <c r="C60" s="10">
        <v>15</v>
      </c>
      <c r="D60" s="31">
        <v>3137</v>
      </c>
      <c r="E60" s="10">
        <v>1</v>
      </c>
      <c r="F60" s="31">
        <v>47055</v>
      </c>
      <c r="G60" s="31"/>
      <c r="H60" s="31">
        <v>2823.2999999999997</v>
      </c>
      <c r="I60" s="31">
        <v>7528.8</v>
      </c>
      <c r="J60" s="32">
        <v>57407.1</v>
      </c>
    </row>
    <row r="61" spans="1:10">
      <c r="A61" s="428"/>
      <c r="B61" s="9" t="s">
        <v>106</v>
      </c>
      <c r="C61" s="10">
        <v>1</v>
      </c>
      <c r="D61" s="31">
        <v>17205</v>
      </c>
      <c r="E61" s="10">
        <v>1</v>
      </c>
      <c r="F61" s="31">
        <v>17205</v>
      </c>
      <c r="G61" s="31"/>
      <c r="H61" s="31">
        <v>1032.3</v>
      </c>
      <c r="I61" s="31">
        <v>2752.8</v>
      </c>
      <c r="J61" s="32">
        <v>20990.1</v>
      </c>
    </row>
    <row r="62" spans="1:10">
      <c r="A62" s="428"/>
      <c r="B62" s="9" t="s">
        <v>107</v>
      </c>
      <c r="C62" s="10">
        <v>1</v>
      </c>
      <c r="D62" s="31">
        <v>18901</v>
      </c>
      <c r="E62" s="10">
        <v>1</v>
      </c>
      <c r="F62" s="31">
        <v>18901</v>
      </c>
      <c r="G62" s="31"/>
      <c r="H62" s="31">
        <v>1134.06</v>
      </c>
      <c r="I62" s="31">
        <v>3024.16</v>
      </c>
      <c r="J62" s="32">
        <v>23059.22</v>
      </c>
    </row>
    <row r="63" spans="1:10">
      <c r="A63" s="428"/>
      <c r="B63" s="42" t="s">
        <v>108</v>
      </c>
      <c r="C63" s="10">
        <v>1</v>
      </c>
      <c r="D63" s="63">
        <v>21011</v>
      </c>
      <c r="E63" s="10">
        <v>1</v>
      </c>
      <c r="F63" s="31">
        <v>21011</v>
      </c>
      <c r="G63" s="31"/>
      <c r="H63" s="31">
        <v>1260.6599999999999</v>
      </c>
      <c r="I63" s="31">
        <v>3361.76</v>
      </c>
      <c r="J63" s="32">
        <v>25633.42</v>
      </c>
    </row>
    <row r="64" spans="1:10">
      <c r="A64" s="428"/>
      <c r="B64" s="42" t="s">
        <v>109</v>
      </c>
      <c r="C64" s="10">
        <v>9</v>
      </c>
      <c r="D64" s="63">
        <v>2096</v>
      </c>
      <c r="E64" s="10">
        <v>1</v>
      </c>
      <c r="F64" s="31">
        <v>18864</v>
      </c>
      <c r="G64" s="31"/>
      <c r="H64" s="31">
        <v>1131.8399999999999</v>
      </c>
      <c r="I64" s="31">
        <v>3018.2400000000002</v>
      </c>
      <c r="J64" s="32">
        <v>23014.080000000002</v>
      </c>
    </row>
    <row r="65" spans="1:14">
      <c r="A65" s="429"/>
      <c r="B65" s="14" t="s">
        <v>110</v>
      </c>
      <c r="C65" s="15">
        <v>17</v>
      </c>
      <c r="D65" s="33">
        <v>3137</v>
      </c>
      <c r="E65" s="15">
        <v>1</v>
      </c>
      <c r="F65" s="33">
        <v>53329</v>
      </c>
      <c r="G65" s="33"/>
      <c r="H65" s="33">
        <v>3199.74</v>
      </c>
      <c r="I65" s="33">
        <v>8532.64</v>
      </c>
      <c r="J65" s="34">
        <v>65061.38</v>
      </c>
    </row>
    <row r="66" spans="1:14">
      <c r="A66" s="427"/>
      <c r="B66" s="77" t="s">
        <v>111</v>
      </c>
      <c r="C66" s="72">
        <v>1</v>
      </c>
      <c r="D66" s="71">
        <v>18901</v>
      </c>
      <c r="E66" s="72">
        <v>1</v>
      </c>
      <c r="F66" s="71">
        <v>18901</v>
      </c>
      <c r="G66" s="71"/>
      <c r="H66" s="71">
        <v>1134.06</v>
      </c>
      <c r="I66" s="71">
        <v>3024.16</v>
      </c>
      <c r="J66" s="73">
        <v>23059.22</v>
      </c>
    </row>
    <row r="67" spans="1:14">
      <c r="A67" s="429"/>
      <c r="B67" s="76" t="s">
        <v>112</v>
      </c>
      <c r="C67" s="57">
        <v>2</v>
      </c>
      <c r="D67" s="58">
        <v>21011</v>
      </c>
      <c r="E67" s="57">
        <v>1</v>
      </c>
      <c r="F67" s="58">
        <v>42022</v>
      </c>
      <c r="G67" s="58"/>
      <c r="H67" s="58">
        <v>2521.3199999999997</v>
      </c>
      <c r="I67" s="58">
        <v>6723.52</v>
      </c>
      <c r="J67" s="60">
        <v>51266.84</v>
      </c>
    </row>
    <row r="68" spans="1:14">
      <c r="A68" s="18"/>
      <c r="B68" s="19" t="s">
        <v>78</v>
      </c>
      <c r="C68" s="20"/>
      <c r="D68" s="21"/>
      <c r="E68" s="20"/>
      <c r="F68" s="27">
        <f>SUM(F59:F67)</f>
        <v>262440</v>
      </c>
      <c r="G68" s="27">
        <f t="shared" ref="G68:J68" si="22">SUM(G59:G67)</f>
        <v>0</v>
      </c>
      <c r="H68" s="27">
        <f t="shared" si="22"/>
        <v>15746.4</v>
      </c>
      <c r="I68" s="27">
        <f t="shared" si="22"/>
        <v>41990.400000000009</v>
      </c>
      <c r="J68" s="27">
        <f t="shared" si="22"/>
        <v>320176.80000000005</v>
      </c>
    </row>
    <row r="69" spans="1:14">
      <c r="A69" s="23"/>
      <c r="B69" s="28" t="s">
        <v>113</v>
      </c>
      <c r="C69" s="82"/>
      <c r="D69" s="83"/>
      <c r="E69" s="82"/>
      <c r="F69" s="83">
        <f>F68</f>
        <v>262440</v>
      </c>
      <c r="G69" s="83">
        <f t="shared" ref="G69:J69" si="23">G68</f>
        <v>0</v>
      </c>
      <c r="H69" s="83">
        <f t="shared" si="23"/>
        <v>15746.4</v>
      </c>
      <c r="I69" s="83">
        <f t="shared" si="23"/>
        <v>41990.400000000009</v>
      </c>
      <c r="J69" s="37">
        <f t="shared" si="23"/>
        <v>320176.80000000005</v>
      </c>
    </row>
    <row r="70" spans="1:14">
      <c r="A70" s="23"/>
      <c r="B70" s="29"/>
      <c r="C70" s="20"/>
      <c r="D70" s="30"/>
      <c r="E70" s="20"/>
      <c r="F70" s="30"/>
      <c r="G70" s="30"/>
      <c r="H70" s="30"/>
      <c r="I70" s="30"/>
      <c r="J70" s="30"/>
    </row>
    <row r="71" spans="1:14">
      <c r="A71" s="431" t="s">
        <v>114</v>
      </c>
      <c r="B71" s="432"/>
      <c r="C71" s="7"/>
      <c r="D71" s="7"/>
      <c r="E71" s="7"/>
      <c r="F71" s="7"/>
      <c r="G71" s="7"/>
      <c r="H71" s="7"/>
      <c r="I71" s="7"/>
      <c r="J71" s="7"/>
    </row>
    <row r="72" spans="1:14">
      <c r="A72" s="66" t="s">
        <v>62</v>
      </c>
      <c r="B72" s="67" t="s">
        <v>13</v>
      </c>
      <c r="C72" s="68" t="s">
        <v>63</v>
      </c>
      <c r="D72" s="68" t="s">
        <v>64</v>
      </c>
      <c r="E72" s="68" t="s">
        <v>65</v>
      </c>
      <c r="F72" s="68" t="s">
        <v>66</v>
      </c>
      <c r="G72" s="68" t="s">
        <v>27</v>
      </c>
      <c r="H72" s="68" t="s">
        <v>68</v>
      </c>
      <c r="I72" s="68" t="s">
        <v>69</v>
      </c>
      <c r="J72" s="69" t="s">
        <v>70</v>
      </c>
    </row>
    <row r="73" spans="1:14" s="41" customFormat="1">
      <c r="A73" s="50"/>
      <c r="B73" s="42"/>
      <c r="C73" s="43"/>
      <c r="D73" s="63"/>
      <c r="E73" s="43"/>
      <c r="F73" s="63"/>
      <c r="G73" s="63"/>
      <c r="H73" s="63"/>
      <c r="I73" s="63"/>
      <c r="J73" s="64"/>
    </row>
    <row r="74" spans="1:14" s="41" customFormat="1">
      <c r="A74" s="50"/>
      <c r="B74" s="42"/>
      <c r="C74" s="43"/>
      <c r="D74" s="63"/>
      <c r="E74" s="43"/>
      <c r="F74" s="63"/>
      <c r="G74" s="63"/>
      <c r="H74" s="63"/>
      <c r="I74" s="63"/>
      <c r="J74" s="64"/>
    </row>
    <row r="75" spans="1:14" s="41" customFormat="1">
      <c r="A75" s="13"/>
      <c r="B75" s="14"/>
      <c r="C75" s="15"/>
      <c r="D75" s="33"/>
      <c r="E75" s="15"/>
      <c r="F75" s="33">
        <f t="shared" ref="F75" si="24">E75+D75+C75</f>
        <v>0</v>
      </c>
      <c r="G75" s="33"/>
      <c r="H75" s="33"/>
      <c r="I75" s="33">
        <f t="shared" ref="I75" si="25">F75*16%</f>
        <v>0</v>
      </c>
      <c r="J75" s="34">
        <f t="shared" ref="J75" si="26">I75+H75+G75+F75</f>
        <v>0</v>
      </c>
    </row>
    <row r="76" spans="1:14">
      <c r="A76" s="18"/>
      <c r="B76" s="19" t="s">
        <v>78</v>
      </c>
      <c r="C76" s="20"/>
      <c r="D76" s="21"/>
      <c r="E76" s="20"/>
      <c r="F76" s="22">
        <f>SUM(F73:F75)</f>
        <v>0</v>
      </c>
      <c r="G76" s="22">
        <f>SUM(G73:G75)</f>
        <v>0</v>
      </c>
      <c r="H76" s="22">
        <f>SUM(H73:H75)</f>
        <v>0</v>
      </c>
      <c r="I76" s="22">
        <f>SUM(I73:I75)</f>
        <v>0</v>
      </c>
      <c r="J76" s="22">
        <f>SUM(J73:J75)</f>
        <v>0</v>
      </c>
    </row>
    <row r="77" spans="1:14">
      <c r="A77" s="23"/>
      <c r="B77" s="28" t="s">
        <v>173</v>
      </c>
      <c r="C77" s="82"/>
      <c r="D77" s="83"/>
      <c r="E77" s="82"/>
      <c r="F77" s="83">
        <f>SUM(F76)</f>
        <v>0</v>
      </c>
      <c r="G77" s="83">
        <f t="shared" ref="G77:J77" si="27">SUM(G76)</f>
        <v>0</v>
      </c>
      <c r="H77" s="83">
        <f t="shared" si="27"/>
        <v>0</v>
      </c>
      <c r="I77" s="83">
        <f t="shared" si="27"/>
        <v>0</v>
      </c>
      <c r="J77" s="83">
        <f t="shared" si="27"/>
        <v>0</v>
      </c>
    </row>
    <row r="78" spans="1:14">
      <c r="A78" s="23"/>
      <c r="B78" s="29"/>
      <c r="C78" s="20"/>
      <c r="D78" s="30"/>
      <c r="E78" s="20"/>
      <c r="F78" s="30"/>
      <c r="G78" s="30"/>
      <c r="H78" s="30"/>
      <c r="I78" s="30"/>
      <c r="J78" s="30"/>
      <c r="N78" t="s">
        <v>116</v>
      </c>
    </row>
    <row r="79" spans="1:14">
      <c r="A79" s="431" t="s">
        <v>117</v>
      </c>
      <c r="B79" s="432"/>
      <c r="C79" s="7"/>
      <c r="D79" s="7"/>
      <c r="E79" s="7"/>
      <c r="F79" s="7"/>
      <c r="G79" s="7"/>
      <c r="H79" s="7"/>
      <c r="I79" s="7"/>
      <c r="J79" s="7"/>
    </row>
    <row r="80" spans="1:14">
      <c r="A80" s="78" t="s">
        <v>62</v>
      </c>
      <c r="B80" s="79" t="s">
        <v>13</v>
      </c>
      <c r="C80" s="80" t="s">
        <v>63</v>
      </c>
      <c r="D80" s="80" t="s">
        <v>64</v>
      </c>
      <c r="E80" s="80" t="s">
        <v>65</v>
      </c>
      <c r="F80" s="80" t="s">
        <v>66</v>
      </c>
      <c r="G80" s="80" t="s">
        <v>27</v>
      </c>
      <c r="H80" s="80" t="s">
        <v>68</v>
      </c>
      <c r="I80" s="80" t="s">
        <v>69</v>
      </c>
      <c r="J80" s="8" t="s">
        <v>70</v>
      </c>
      <c r="N80" t="s">
        <v>116</v>
      </c>
    </row>
    <row r="81" spans="1:10" s="41" customFormat="1" ht="24.75">
      <c r="A81" s="427" t="s">
        <v>74</v>
      </c>
      <c r="B81" s="269" t="s">
        <v>118</v>
      </c>
      <c r="C81" s="72">
        <v>410</v>
      </c>
      <c r="D81" s="74">
        <v>120</v>
      </c>
      <c r="E81" s="72">
        <v>0</v>
      </c>
      <c r="F81" s="71">
        <f t="shared" ref="F81:F89" si="28">SUM(C81*D81*E81)</f>
        <v>0</v>
      </c>
      <c r="G81" s="71"/>
      <c r="H81" s="71"/>
      <c r="I81" s="71">
        <f>F81*16%</f>
        <v>0</v>
      </c>
      <c r="J81" s="73">
        <f>I81+H81+G81+F81</f>
        <v>0</v>
      </c>
    </row>
    <row r="82" spans="1:10" s="41" customFormat="1" ht="54.75" customHeight="1">
      <c r="A82" s="428"/>
      <c r="B82" s="132" t="s">
        <v>274</v>
      </c>
      <c r="C82" s="10">
        <v>1</v>
      </c>
      <c r="D82" s="31">
        <f>800*20</f>
        <v>16000</v>
      </c>
      <c r="E82" s="10">
        <v>0</v>
      </c>
      <c r="F82" s="31">
        <f>SUM(C82*D82*E82)</f>
        <v>0</v>
      </c>
      <c r="G82" s="31"/>
      <c r="H82" s="31"/>
      <c r="I82" s="31">
        <f>F82*16%</f>
        <v>0</v>
      </c>
      <c r="J82" s="32">
        <f>I82+H82+G82+F82</f>
        <v>0</v>
      </c>
    </row>
    <row r="83" spans="1:10" s="41" customFormat="1" ht="57" customHeight="1">
      <c r="A83" s="428"/>
      <c r="B83" s="132" t="s">
        <v>275</v>
      </c>
      <c r="C83" s="10">
        <v>1</v>
      </c>
      <c r="D83" s="11">
        <f>20*20</f>
        <v>400</v>
      </c>
      <c r="E83" s="10">
        <v>0</v>
      </c>
      <c r="F83" s="31">
        <f t="shared" si="28"/>
        <v>0</v>
      </c>
      <c r="G83" s="31"/>
      <c r="H83" s="31"/>
      <c r="I83" s="31">
        <f t="shared" ref="I83:I89" si="29">F83*16%</f>
        <v>0</v>
      </c>
      <c r="J83" s="32">
        <f t="shared" ref="J83:J89" si="30">I83+H83+G83+F83</f>
        <v>0</v>
      </c>
    </row>
    <row r="84" spans="1:10" s="41" customFormat="1" ht="50.25" customHeight="1">
      <c r="A84" s="428"/>
      <c r="B84" s="132" t="s">
        <v>276</v>
      </c>
      <c r="C84" s="10">
        <v>1</v>
      </c>
      <c r="D84" s="11">
        <f>40*20</f>
        <v>800</v>
      </c>
      <c r="E84" s="10">
        <v>0</v>
      </c>
      <c r="F84" s="31">
        <f t="shared" si="28"/>
        <v>0</v>
      </c>
      <c r="G84" s="31"/>
      <c r="H84" s="31"/>
      <c r="I84" s="31">
        <f t="shared" si="29"/>
        <v>0</v>
      </c>
      <c r="J84" s="32">
        <f t="shared" si="30"/>
        <v>0</v>
      </c>
    </row>
    <row r="85" spans="1:10" s="41" customFormat="1" ht="51" customHeight="1">
      <c r="A85" s="428"/>
      <c r="B85" s="132" t="s">
        <v>277</v>
      </c>
      <c r="C85" s="10">
        <v>1</v>
      </c>
      <c r="D85" s="11">
        <f>20*20</f>
        <v>400</v>
      </c>
      <c r="E85" s="10">
        <v>0</v>
      </c>
      <c r="F85" s="31">
        <f t="shared" si="28"/>
        <v>0</v>
      </c>
      <c r="G85" s="31"/>
      <c r="H85" s="31"/>
      <c r="I85" s="31">
        <f t="shared" si="29"/>
        <v>0</v>
      </c>
      <c r="J85" s="32">
        <f t="shared" si="30"/>
        <v>0</v>
      </c>
    </row>
    <row r="86" spans="1:10" s="41" customFormat="1" ht="39" customHeight="1">
      <c r="A86" s="428"/>
      <c r="B86" s="132" t="s">
        <v>278</v>
      </c>
      <c r="C86" s="10">
        <v>1</v>
      </c>
      <c r="D86" s="11">
        <f>38*20</f>
        <v>760</v>
      </c>
      <c r="E86" s="10">
        <v>0</v>
      </c>
      <c r="F86" s="31">
        <f t="shared" si="28"/>
        <v>0</v>
      </c>
      <c r="G86" s="31"/>
      <c r="H86" s="31"/>
      <c r="I86" s="31">
        <f t="shared" si="29"/>
        <v>0</v>
      </c>
      <c r="J86" s="32">
        <f t="shared" si="30"/>
        <v>0</v>
      </c>
    </row>
    <row r="87" spans="1:10" s="41" customFormat="1" ht="62.45" customHeight="1">
      <c r="A87" s="93" t="s">
        <v>71</v>
      </c>
      <c r="B87" s="127" t="s">
        <v>291</v>
      </c>
      <c r="C87" s="94">
        <v>1</v>
      </c>
      <c r="D87" s="95">
        <v>0</v>
      </c>
      <c r="E87" s="94">
        <v>1</v>
      </c>
      <c r="F87" s="96">
        <f t="shared" si="28"/>
        <v>0</v>
      </c>
      <c r="G87" s="96"/>
      <c r="H87" s="96"/>
      <c r="I87" s="96">
        <f t="shared" si="29"/>
        <v>0</v>
      </c>
      <c r="J87" s="97">
        <f t="shared" si="30"/>
        <v>0</v>
      </c>
    </row>
    <row r="88" spans="1:10" s="41" customFormat="1" ht="36.75" customHeight="1">
      <c r="A88" s="75" t="s">
        <v>83</v>
      </c>
      <c r="B88" s="126" t="s">
        <v>292</v>
      </c>
      <c r="C88" s="57">
        <v>1</v>
      </c>
      <c r="D88" s="59">
        <v>0</v>
      </c>
      <c r="E88" s="57">
        <v>1</v>
      </c>
      <c r="F88" s="58">
        <f t="shared" si="28"/>
        <v>0</v>
      </c>
      <c r="G88" s="58"/>
      <c r="H88" s="58"/>
      <c r="I88" s="58">
        <f t="shared" si="29"/>
        <v>0</v>
      </c>
      <c r="J88" s="60">
        <f t="shared" si="30"/>
        <v>0</v>
      </c>
    </row>
    <row r="89" spans="1:10" s="41" customFormat="1" ht="47.25" customHeight="1">
      <c r="A89" s="270" t="s">
        <v>127</v>
      </c>
      <c r="B89" s="128" t="s">
        <v>293</v>
      </c>
      <c r="C89" s="72">
        <v>7</v>
      </c>
      <c r="D89" s="74">
        <v>0</v>
      </c>
      <c r="E89" s="72">
        <v>3</v>
      </c>
      <c r="F89" s="71">
        <f t="shared" si="28"/>
        <v>0</v>
      </c>
      <c r="G89" s="71"/>
      <c r="H89" s="71"/>
      <c r="I89" s="71">
        <f t="shared" si="29"/>
        <v>0</v>
      </c>
      <c r="J89" s="73">
        <f t="shared" si="30"/>
        <v>0</v>
      </c>
    </row>
    <row r="90" spans="1:10">
      <c r="A90" s="18"/>
      <c r="B90" s="19" t="s">
        <v>78</v>
      </c>
      <c r="C90" s="20"/>
      <c r="D90" s="21"/>
      <c r="E90" s="20"/>
      <c r="F90" s="38">
        <f>SUM(F81:F89)</f>
        <v>0</v>
      </c>
      <c r="G90" s="38">
        <f>SUM(G81:G89)</f>
        <v>0</v>
      </c>
      <c r="H90" s="38">
        <f>SUM(H81:H89)</f>
        <v>0</v>
      </c>
      <c r="I90" s="38">
        <f>SUM(I81:I89)</f>
        <v>0</v>
      </c>
      <c r="J90" s="38">
        <f>SUM(J81:J89)</f>
        <v>0</v>
      </c>
    </row>
    <row r="91" spans="1:10">
      <c r="A91" s="23"/>
      <c r="B91" s="28" t="s">
        <v>135</v>
      </c>
      <c r="C91" s="82"/>
      <c r="D91" s="83"/>
      <c r="E91" s="82"/>
      <c r="F91" s="83">
        <f>F90</f>
        <v>0</v>
      </c>
      <c r="G91" s="83">
        <f>G90</f>
        <v>0</v>
      </c>
      <c r="H91" s="83">
        <f>H90</f>
        <v>0</v>
      </c>
      <c r="I91" s="83">
        <f>I90</f>
        <v>0</v>
      </c>
      <c r="J91" s="37">
        <f>J90</f>
        <v>0</v>
      </c>
    </row>
    <row r="92" spans="1:10">
      <c r="A92" s="23"/>
      <c r="B92" s="29"/>
      <c r="C92" s="20"/>
      <c r="D92" s="30"/>
      <c r="E92" s="20"/>
      <c r="F92" s="30"/>
      <c r="G92" s="30"/>
      <c r="H92" s="30"/>
      <c r="I92" s="30"/>
      <c r="J92" s="30"/>
    </row>
    <row r="93" spans="1:10">
      <c r="A93" s="431" t="s">
        <v>136</v>
      </c>
      <c r="B93" s="432"/>
      <c r="C93" s="7"/>
      <c r="D93" s="7"/>
      <c r="E93" s="7"/>
      <c r="F93" s="7"/>
      <c r="G93" s="7"/>
      <c r="H93" s="7"/>
      <c r="I93" s="7"/>
      <c r="J93" s="7"/>
    </row>
    <row r="94" spans="1:10">
      <c r="A94" s="78" t="s">
        <v>62</v>
      </c>
      <c r="B94" s="79" t="s">
        <v>13</v>
      </c>
      <c r="C94" s="80" t="s">
        <v>63</v>
      </c>
      <c r="D94" s="80" t="s">
        <v>64</v>
      </c>
      <c r="E94" s="80" t="s">
        <v>65</v>
      </c>
      <c r="F94" s="80" t="s">
        <v>66</v>
      </c>
      <c r="G94" s="80" t="s">
        <v>27</v>
      </c>
      <c r="H94" s="80" t="s">
        <v>68</v>
      </c>
      <c r="I94" s="80" t="s">
        <v>69</v>
      </c>
      <c r="J94" s="8" t="s">
        <v>70</v>
      </c>
    </row>
    <row r="95" spans="1:10" s="41" customFormat="1" ht="24.75">
      <c r="A95" s="434" t="s">
        <v>137</v>
      </c>
      <c r="B95" s="70" t="s">
        <v>138</v>
      </c>
      <c r="C95" s="72">
        <v>4</v>
      </c>
      <c r="D95" s="74">
        <v>9627.68</v>
      </c>
      <c r="E95" s="72">
        <v>5</v>
      </c>
      <c r="F95" s="74">
        <f>SUM(C95*D95*E95)</f>
        <v>192553.60000000001</v>
      </c>
      <c r="G95" s="74">
        <f>240.69*C95*E95</f>
        <v>4813.8</v>
      </c>
      <c r="H95" s="74">
        <f>509.2*C95*E95</f>
        <v>10184</v>
      </c>
      <c r="I95" s="74">
        <f>(F95+G95+H95)*16%</f>
        <v>33208.224000000002</v>
      </c>
      <c r="J95" s="81">
        <f t="shared" ref="J95:J98" si="31">I95+H95+G95+F95</f>
        <v>240759.62400000001</v>
      </c>
    </row>
    <row r="96" spans="1:10" s="41" customFormat="1">
      <c r="A96" s="435"/>
      <c r="B96" s="14" t="s">
        <v>73</v>
      </c>
      <c r="C96" s="15">
        <v>4</v>
      </c>
      <c r="D96" s="16">
        <v>60</v>
      </c>
      <c r="E96" s="15">
        <v>5</v>
      </c>
      <c r="F96" s="16"/>
      <c r="G96" s="16"/>
      <c r="H96" s="16">
        <f>E96*D96*C96</f>
        <v>1200</v>
      </c>
      <c r="I96" s="16">
        <v>0</v>
      </c>
      <c r="J96" s="17">
        <f t="shared" si="31"/>
        <v>1200</v>
      </c>
    </row>
    <row r="97" spans="1:10" s="41" customFormat="1" ht="24.75">
      <c r="A97" s="435"/>
      <c r="B97" s="70" t="s">
        <v>139</v>
      </c>
      <c r="C97" s="72">
        <v>1</v>
      </c>
      <c r="D97" s="74">
        <v>9627.68</v>
      </c>
      <c r="E97" s="72">
        <v>5</v>
      </c>
      <c r="F97" s="74">
        <f>SUM(C97*D97*E97)</f>
        <v>48138.400000000001</v>
      </c>
      <c r="G97" s="74">
        <f>240.69*C97*E97</f>
        <v>1203.45</v>
      </c>
      <c r="H97" s="74">
        <f>509.2*C97*E97</f>
        <v>2546</v>
      </c>
      <c r="I97" s="74">
        <f>(F97+G97+H97)*16%</f>
        <v>8302.0560000000005</v>
      </c>
      <c r="J97" s="81">
        <f t="shared" si="31"/>
        <v>60189.906000000003</v>
      </c>
    </row>
    <row r="98" spans="1:10" s="41" customFormat="1">
      <c r="A98" s="435"/>
      <c r="B98" s="14" t="s">
        <v>73</v>
      </c>
      <c r="C98" s="15">
        <v>1</v>
      </c>
      <c r="D98" s="16">
        <v>60</v>
      </c>
      <c r="E98" s="15">
        <v>5</v>
      </c>
      <c r="F98" s="16"/>
      <c r="G98" s="16"/>
      <c r="H98" s="16">
        <f>E98*D98*C98</f>
        <v>300</v>
      </c>
      <c r="I98" s="16">
        <v>0</v>
      </c>
      <c r="J98" s="17">
        <f t="shared" si="31"/>
        <v>300</v>
      </c>
    </row>
    <row r="99" spans="1:10" s="41" customFormat="1">
      <c r="A99" s="435"/>
      <c r="B99" s="528" t="s">
        <v>140</v>
      </c>
      <c r="C99" s="529">
        <v>10</v>
      </c>
      <c r="D99" s="530">
        <v>6046</v>
      </c>
      <c r="E99" s="529">
        <v>1</v>
      </c>
      <c r="F99" s="530">
        <f>SUM(C99*D99*E99)</f>
        <v>60460</v>
      </c>
      <c r="G99" s="530">
        <v>0</v>
      </c>
      <c r="H99" s="530">
        <f>2355*C99</f>
        <v>23550</v>
      </c>
      <c r="I99" s="530">
        <f>968*C99</f>
        <v>9680</v>
      </c>
      <c r="J99" s="530">
        <f>I99+H99+G99+F99</f>
        <v>93690</v>
      </c>
    </row>
    <row r="100" spans="1:10" s="41" customFormat="1">
      <c r="A100" s="437"/>
      <c r="B100" s="528" t="s">
        <v>141</v>
      </c>
      <c r="C100" s="529">
        <v>10</v>
      </c>
      <c r="D100" s="530">
        <v>230</v>
      </c>
      <c r="E100" s="529">
        <v>1</v>
      </c>
      <c r="F100" s="530">
        <f>C100*D100*E100</f>
        <v>2300</v>
      </c>
      <c r="G100" s="530"/>
      <c r="H100" s="530"/>
      <c r="I100" s="530">
        <f>F100*16%</f>
        <v>368</v>
      </c>
      <c r="J100" s="530">
        <f>SUM(F100:I100)</f>
        <v>2668</v>
      </c>
    </row>
    <row r="101" spans="1:10" s="41" customFormat="1" ht="19.899999999999999" customHeight="1">
      <c r="A101" s="436"/>
      <c r="B101" s="14" t="s">
        <v>142</v>
      </c>
      <c r="C101" s="15">
        <v>10</v>
      </c>
      <c r="D101" s="16">
        <v>1500</v>
      </c>
      <c r="E101" s="15">
        <v>5</v>
      </c>
      <c r="F101" s="16">
        <f t="shared" ref="F99:F101" si="32">SUM(C101*D101*E101)</f>
        <v>75000</v>
      </c>
      <c r="G101" s="16">
        <v>0</v>
      </c>
      <c r="H101" s="16">
        <v>0</v>
      </c>
      <c r="I101" s="16">
        <f t="shared" ref="I99:I101" si="33">(F101*16%)+(G101*16%)+(H101*16%)</f>
        <v>12000</v>
      </c>
      <c r="J101" s="17">
        <f t="shared" ref="J99:J101" si="34">I101+H101+G101+F101</f>
        <v>87000</v>
      </c>
    </row>
    <row r="102" spans="1:10">
      <c r="A102" s="18"/>
      <c r="B102" s="19" t="s">
        <v>78</v>
      </c>
      <c r="C102" s="35"/>
      <c r="D102" s="36"/>
      <c r="E102" s="35"/>
      <c r="F102" s="65">
        <f>SUM(F95:F101)</f>
        <v>378452</v>
      </c>
      <c r="G102" s="65">
        <f>SUM(G95:G101)</f>
        <v>6017.25</v>
      </c>
      <c r="H102" s="65">
        <f t="shared" ref="H102:J102" si="35">SUM(H95:H101)</f>
        <v>37780</v>
      </c>
      <c r="I102" s="65">
        <f t="shared" si="35"/>
        <v>63558.28</v>
      </c>
      <c r="J102" s="65">
        <f t="shared" si="35"/>
        <v>485807.53</v>
      </c>
    </row>
    <row r="103" spans="1:10" ht="25.5">
      <c r="A103" s="23"/>
      <c r="B103" s="28" t="s">
        <v>143</v>
      </c>
      <c r="C103" s="82"/>
      <c r="D103" s="83"/>
      <c r="E103" s="82"/>
      <c r="F103" s="83">
        <f>F102</f>
        <v>378452</v>
      </c>
      <c r="G103" s="83">
        <f>G102</f>
        <v>6017.25</v>
      </c>
      <c r="H103" s="83">
        <f>H102</f>
        <v>37780</v>
      </c>
      <c r="I103" s="83">
        <f>I102</f>
        <v>63558.28</v>
      </c>
      <c r="J103" s="83">
        <f>J102</f>
        <v>485807.53</v>
      </c>
    </row>
    <row r="104" spans="1:10">
      <c r="A104" s="23"/>
      <c r="B104" s="24"/>
      <c r="C104" s="25"/>
      <c r="D104" s="26"/>
      <c r="E104" s="25"/>
      <c r="F104" s="26"/>
      <c r="G104" s="26"/>
      <c r="H104" s="26"/>
      <c r="I104" s="26"/>
      <c r="J104" s="26"/>
    </row>
    <row r="105" spans="1:10" ht="22.5">
      <c r="A105" s="430" t="s">
        <v>1</v>
      </c>
      <c r="B105" s="430"/>
      <c r="C105" s="430"/>
      <c r="D105" s="430"/>
      <c r="E105" s="430"/>
      <c r="F105" s="26"/>
      <c r="G105" s="26"/>
      <c r="H105" s="26"/>
      <c r="I105" s="26"/>
      <c r="J105" s="26"/>
    </row>
    <row r="106" spans="1:10">
      <c r="A106" s="39"/>
      <c r="B106" s="85"/>
      <c r="C106" s="82"/>
      <c r="D106" s="83"/>
      <c r="E106" s="86" t="s">
        <v>144</v>
      </c>
      <c r="F106" s="83">
        <f>F28</f>
        <v>6140807.7199999997</v>
      </c>
      <c r="G106" s="83">
        <f>G28</f>
        <v>152464.91999999998</v>
      </c>
      <c r="H106" s="83">
        <f>H28</f>
        <v>350002.8</v>
      </c>
      <c r="I106" s="83">
        <f>I28</f>
        <v>1056540.0704000001</v>
      </c>
      <c r="J106" s="83">
        <f>SUM(F106:I106)</f>
        <v>7699815.5103999991</v>
      </c>
    </row>
    <row r="107" spans="1:10">
      <c r="A107" s="39"/>
      <c r="B107" s="85"/>
      <c r="C107" s="82"/>
      <c r="D107" s="83"/>
      <c r="E107" s="86" t="s">
        <v>145</v>
      </c>
      <c r="F107" s="83">
        <f>F54</f>
        <v>0</v>
      </c>
      <c r="G107" s="83">
        <f>G54</f>
        <v>0</v>
      </c>
      <c r="H107" s="83">
        <f>H54</f>
        <v>0</v>
      </c>
      <c r="I107" s="83">
        <f>I54</f>
        <v>0</v>
      </c>
      <c r="J107" s="83">
        <f>SUM(F107:I107)</f>
        <v>0</v>
      </c>
    </row>
    <row r="108" spans="1:10">
      <c r="A108" s="39"/>
      <c r="B108" s="85"/>
      <c r="C108" s="82"/>
      <c r="D108" s="83"/>
      <c r="E108" s="86" t="s">
        <v>146</v>
      </c>
      <c r="F108" s="83">
        <f>F69</f>
        <v>262440</v>
      </c>
      <c r="G108" s="83">
        <f>G69</f>
        <v>0</v>
      </c>
      <c r="H108" s="83">
        <f>H69</f>
        <v>15746.4</v>
      </c>
      <c r="I108" s="83">
        <f>I69</f>
        <v>41990.400000000009</v>
      </c>
      <c r="J108" s="83">
        <f>SUM(F108:I108)</f>
        <v>320176.80000000005</v>
      </c>
    </row>
    <row r="109" spans="1:10">
      <c r="A109" s="39"/>
      <c r="B109" s="85"/>
      <c r="C109" s="82"/>
      <c r="D109" s="83"/>
      <c r="E109" s="86" t="str">
        <f>A71</f>
        <v>TELEMARKETING</v>
      </c>
      <c r="F109" s="83">
        <f>F77</f>
        <v>0</v>
      </c>
      <c r="G109" s="83">
        <f>G77</f>
        <v>0</v>
      </c>
      <c r="H109" s="83">
        <f>H77</f>
        <v>0</v>
      </c>
      <c r="I109" s="83">
        <f>I77</f>
        <v>0</v>
      </c>
      <c r="J109" s="83">
        <f>SUM(F109:I109)</f>
        <v>0</v>
      </c>
    </row>
    <row r="110" spans="1:10">
      <c r="A110" s="39"/>
      <c r="B110" s="85"/>
      <c r="C110" s="82"/>
      <c r="D110" s="83"/>
      <c r="E110" s="86" t="s">
        <v>30</v>
      </c>
      <c r="F110" s="83">
        <f>F91</f>
        <v>0</v>
      </c>
      <c r="G110" s="83">
        <f>G91</f>
        <v>0</v>
      </c>
      <c r="H110" s="83">
        <f>H91</f>
        <v>0</v>
      </c>
      <c r="I110" s="83">
        <f>I91</f>
        <v>0</v>
      </c>
      <c r="J110" s="83">
        <f>SUM(F110:I110)</f>
        <v>0</v>
      </c>
    </row>
    <row r="111" spans="1:10">
      <c r="A111" s="40"/>
      <c r="B111" s="87"/>
      <c r="C111" s="88"/>
      <c r="D111" s="89"/>
      <c r="E111" s="90" t="s">
        <v>147</v>
      </c>
      <c r="F111" s="89">
        <f>SUM(F106:F110)</f>
        <v>6403247.7199999997</v>
      </c>
      <c r="G111" s="89">
        <f t="shared" ref="G111:I111" si="36">SUM(G106:G110)</f>
        <v>152464.91999999998</v>
      </c>
      <c r="H111" s="89">
        <f t="shared" si="36"/>
        <v>365749.2</v>
      </c>
      <c r="I111" s="89">
        <f t="shared" si="36"/>
        <v>1098530.4704</v>
      </c>
      <c r="J111" s="89">
        <f>SUM(J106:J110)</f>
        <v>8019992.3103999989</v>
      </c>
    </row>
    <row r="112" spans="1:10">
      <c r="A112" s="39"/>
      <c r="B112" s="85"/>
      <c r="C112" s="82"/>
      <c r="D112" s="83"/>
      <c r="E112" s="86" t="s">
        <v>148</v>
      </c>
      <c r="F112" s="83">
        <f>(F106+F107+F108+F109+F110)*6%</f>
        <v>384194.86319999996</v>
      </c>
      <c r="G112" s="83"/>
      <c r="H112" s="83"/>
      <c r="I112" s="83">
        <f>F112*16%</f>
        <v>61471.178111999994</v>
      </c>
      <c r="J112" s="83">
        <f>SUM(F112:I112)</f>
        <v>445666.04131199996</v>
      </c>
    </row>
    <row r="113" spans="1:10">
      <c r="A113" s="39"/>
      <c r="B113" s="85"/>
      <c r="C113" s="82"/>
      <c r="D113" s="83"/>
      <c r="E113" s="86" t="s">
        <v>149</v>
      </c>
      <c r="F113" s="83">
        <f>F103</f>
        <v>378452</v>
      </c>
      <c r="G113" s="83">
        <f>G103</f>
        <v>6017.25</v>
      </c>
      <c r="H113" s="83">
        <f>H103</f>
        <v>37780</v>
      </c>
      <c r="I113" s="83">
        <f>I103</f>
        <v>63558.28</v>
      </c>
      <c r="J113" s="83">
        <f>SUM(F113:I113)</f>
        <v>485807.53</v>
      </c>
    </row>
    <row r="114" spans="1:10">
      <c r="A114" s="40"/>
      <c r="B114" s="87"/>
      <c r="C114" s="88"/>
      <c r="D114" s="89"/>
      <c r="E114" s="90" t="s">
        <v>150</v>
      </c>
      <c r="F114" s="89">
        <f>SUM(F111:F113)</f>
        <v>7165894.5831999993</v>
      </c>
      <c r="G114" s="89">
        <f>SUM(G111:G113)</f>
        <v>158482.16999999998</v>
      </c>
      <c r="H114" s="89">
        <f>SUM(H111:H113)</f>
        <v>403529.2</v>
      </c>
      <c r="I114" s="89">
        <f>SUM(I111:I113)</f>
        <v>1223559.928512</v>
      </c>
      <c r="J114" s="89">
        <f>SUM(J111:J113)</f>
        <v>8951465.881711999</v>
      </c>
    </row>
    <row r="116" spans="1:10">
      <c r="A116" s="98" t="s">
        <v>192</v>
      </c>
    </row>
    <row r="117" spans="1:10">
      <c r="A117" s="98" t="s">
        <v>151</v>
      </c>
    </row>
  </sheetData>
  <mergeCells count="27">
    <mergeCell ref="B11:J11"/>
    <mergeCell ref="A1:J5"/>
    <mergeCell ref="B7:J7"/>
    <mergeCell ref="B8:J8"/>
    <mergeCell ref="B9:J9"/>
    <mergeCell ref="B10:J10"/>
    <mergeCell ref="A47:A51"/>
    <mergeCell ref="B12:J12"/>
    <mergeCell ref="B13:J13"/>
    <mergeCell ref="F14:G14"/>
    <mergeCell ref="H14:J14"/>
    <mergeCell ref="A17:B17"/>
    <mergeCell ref="A19:A20"/>
    <mergeCell ref="A21:A25"/>
    <mergeCell ref="A31:B31"/>
    <mergeCell ref="A33:A34"/>
    <mergeCell ref="A35:A40"/>
    <mergeCell ref="A41:A46"/>
    <mergeCell ref="A93:B93"/>
    <mergeCell ref="A95:A101"/>
    <mergeCell ref="A105:E105"/>
    <mergeCell ref="A57:B57"/>
    <mergeCell ref="A59:A65"/>
    <mergeCell ref="A66:A67"/>
    <mergeCell ref="A71:B71"/>
    <mergeCell ref="A79:B79"/>
    <mergeCell ref="A81:A8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ECAA4-A412-4D48-BA8C-7B3F26D08410}">
  <sheetPr>
    <tabColor theme="0"/>
  </sheetPr>
  <dimension ref="A1:N120"/>
  <sheetViews>
    <sheetView zoomScale="90" zoomScaleNormal="90" workbookViewId="0">
      <selection activeCell="B11" sqref="B11:J11"/>
    </sheetView>
  </sheetViews>
  <sheetFormatPr defaultColWidth="8.85546875" defaultRowHeight="15"/>
  <cols>
    <col min="1" max="1" width="20.7109375" customWidth="1"/>
    <col min="2" max="2" width="49.140625" customWidth="1"/>
    <col min="3" max="3" width="10.5703125" customWidth="1"/>
    <col min="4" max="5" width="13.85546875" customWidth="1"/>
    <col min="6" max="6" width="16.85546875" customWidth="1"/>
    <col min="7" max="8" width="13.85546875" customWidth="1"/>
    <col min="9" max="9" width="15.28515625" bestFit="1" customWidth="1"/>
    <col min="10" max="10" width="19.28515625" customWidth="1"/>
  </cols>
  <sheetData>
    <row r="1" spans="1:10">
      <c r="A1" s="438" t="s">
        <v>44</v>
      </c>
      <c r="B1" s="439"/>
      <c r="C1" s="439"/>
      <c r="D1" s="439"/>
      <c r="E1" s="439"/>
      <c r="F1" s="439"/>
      <c r="G1" s="439"/>
      <c r="H1" s="439"/>
      <c r="I1" s="439"/>
      <c r="J1" s="440"/>
    </row>
    <row r="2" spans="1:10">
      <c r="A2" s="441"/>
      <c r="B2" s="442"/>
      <c r="C2" s="442"/>
      <c r="D2" s="442"/>
      <c r="E2" s="442"/>
      <c r="F2" s="442"/>
      <c r="G2" s="442"/>
      <c r="H2" s="442"/>
      <c r="I2" s="442"/>
      <c r="J2" s="443"/>
    </row>
    <row r="3" spans="1:10">
      <c r="A3" s="441"/>
      <c r="B3" s="442"/>
      <c r="C3" s="442"/>
      <c r="D3" s="442"/>
      <c r="E3" s="442"/>
      <c r="F3" s="442"/>
      <c r="G3" s="442"/>
      <c r="H3" s="442"/>
      <c r="I3" s="442"/>
      <c r="J3" s="443"/>
    </row>
    <row r="4" spans="1:10">
      <c r="A4" s="441"/>
      <c r="B4" s="442"/>
      <c r="C4" s="442"/>
      <c r="D4" s="442"/>
      <c r="E4" s="442"/>
      <c r="F4" s="442"/>
      <c r="G4" s="442"/>
      <c r="H4" s="442"/>
      <c r="I4" s="442"/>
      <c r="J4" s="443"/>
    </row>
    <row r="5" spans="1:10">
      <c r="A5" s="444"/>
      <c r="B5" s="445"/>
      <c r="C5" s="445"/>
      <c r="D5" s="445"/>
      <c r="E5" s="445"/>
      <c r="F5" s="445"/>
      <c r="G5" s="445"/>
      <c r="H5" s="445"/>
      <c r="I5" s="445"/>
      <c r="J5" s="446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 customHeight="1">
      <c r="A7" s="2" t="s">
        <v>45</v>
      </c>
      <c r="B7" s="454" t="s">
        <v>3</v>
      </c>
      <c r="C7" s="454"/>
      <c r="D7" s="454"/>
      <c r="E7" s="454"/>
      <c r="F7" s="454"/>
      <c r="G7" s="454"/>
      <c r="H7" s="454"/>
      <c r="I7" s="454"/>
      <c r="J7" s="454"/>
    </row>
    <row r="8" spans="1:10" ht="15.75">
      <c r="A8" s="2" t="s">
        <v>46</v>
      </c>
      <c r="B8" s="448" t="s">
        <v>294</v>
      </c>
      <c r="C8" s="448"/>
      <c r="D8" s="448"/>
      <c r="E8" s="448"/>
      <c r="F8" s="448"/>
      <c r="G8" s="448"/>
      <c r="H8" s="448"/>
      <c r="I8" s="448"/>
      <c r="J8" s="448"/>
    </row>
    <row r="9" spans="1:10" ht="15.75">
      <c r="A9" s="2" t="s">
        <v>48</v>
      </c>
      <c r="B9" s="449" t="s">
        <v>295</v>
      </c>
      <c r="C9" s="449"/>
      <c r="D9" s="449"/>
      <c r="E9" s="449"/>
      <c r="F9" s="449"/>
      <c r="G9" s="449"/>
      <c r="H9" s="449"/>
      <c r="I9" s="449"/>
      <c r="J9" s="449"/>
    </row>
    <row r="10" spans="1:10" ht="15.75">
      <c r="A10" s="2" t="s">
        <v>50</v>
      </c>
      <c r="B10" s="450" t="s">
        <v>195</v>
      </c>
      <c r="C10" s="450"/>
      <c r="D10" s="450"/>
      <c r="E10" s="450"/>
      <c r="F10" s="450"/>
      <c r="G10" s="450"/>
      <c r="H10" s="450"/>
      <c r="I10" s="450"/>
      <c r="J10" s="450"/>
    </row>
    <row r="11" spans="1:10" ht="15.75">
      <c r="A11" s="2" t="s">
        <v>52</v>
      </c>
      <c r="B11" s="450" t="s">
        <v>53</v>
      </c>
      <c r="C11" s="450"/>
      <c r="D11" s="450"/>
      <c r="E11" s="450"/>
      <c r="F11" s="450"/>
      <c r="G11" s="450"/>
      <c r="H11" s="450"/>
      <c r="I11" s="450"/>
      <c r="J11" s="450"/>
    </row>
    <row r="12" spans="1:10" ht="15.6" customHeight="1">
      <c r="A12" s="2" t="s">
        <v>54</v>
      </c>
      <c r="B12" s="450" t="s">
        <v>55</v>
      </c>
      <c r="C12" s="450"/>
      <c r="D12" s="450"/>
      <c r="E12" s="450"/>
      <c r="F12" s="450"/>
      <c r="G12" s="450"/>
      <c r="H12" s="450"/>
      <c r="I12" s="450"/>
      <c r="J12" s="450"/>
    </row>
    <row r="13" spans="1:10" ht="15.75">
      <c r="A13" s="2" t="s">
        <v>56</v>
      </c>
      <c r="B13" s="450"/>
      <c r="C13" s="450"/>
      <c r="D13" s="450"/>
      <c r="E13" s="450"/>
      <c r="F13" s="450"/>
      <c r="G13" s="450"/>
      <c r="H13" s="450"/>
      <c r="I13" s="450"/>
      <c r="J13" s="450"/>
    </row>
    <row r="14" spans="1:10">
      <c r="A14" s="3" t="s">
        <v>57</v>
      </c>
      <c r="B14" s="4" t="s">
        <v>58</v>
      </c>
      <c r="C14" s="5" t="s">
        <v>59</v>
      </c>
      <c r="D14" s="6">
        <v>0</v>
      </c>
      <c r="E14" s="7"/>
      <c r="F14" s="451" t="s">
        <v>60</v>
      </c>
      <c r="G14" s="451"/>
      <c r="H14" s="452"/>
      <c r="I14" s="453"/>
      <c r="J14" s="453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>
      <c r="A17" s="431" t="s">
        <v>61</v>
      </c>
      <c r="B17" s="432"/>
      <c r="C17" s="7"/>
      <c r="D17" s="7"/>
      <c r="E17" s="7"/>
      <c r="F17" s="7"/>
      <c r="G17" s="7"/>
      <c r="H17" s="7"/>
      <c r="I17" s="7"/>
      <c r="J17" s="7"/>
    </row>
    <row r="18" spans="1:10">
      <c r="A18" s="78" t="s">
        <v>62</v>
      </c>
      <c r="B18" s="79" t="s">
        <v>13</v>
      </c>
      <c r="C18" s="80" t="s">
        <v>63</v>
      </c>
      <c r="D18" s="80" t="s">
        <v>64</v>
      </c>
      <c r="E18" s="80" t="s">
        <v>65</v>
      </c>
      <c r="F18" s="80" t="s">
        <v>66</v>
      </c>
      <c r="G18" s="80" t="s">
        <v>67</v>
      </c>
      <c r="H18" s="80" t="s">
        <v>68</v>
      </c>
      <c r="I18" s="80" t="s">
        <v>69</v>
      </c>
      <c r="J18" s="8" t="s">
        <v>70</v>
      </c>
    </row>
    <row r="19" spans="1:10" s="41" customFormat="1">
      <c r="A19" s="427" t="s">
        <v>71</v>
      </c>
      <c r="B19" s="70" t="s">
        <v>72</v>
      </c>
      <c r="C19" s="72">
        <v>5</v>
      </c>
      <c r="D19" s="74">
        <v>5598.45</v>
      </c>
      <c r="E19" s="72">
        <v>1</v>
      </c>
      <c r="F19" s="74">
        <f>SUM(C19*D19*E19)</f>
        <v>27992.25</v>
      </c>
      <c r="G19" s="74">
        <f>138.8*C19*E19</f>
        <v>694</v>
      </c>
      <c r="H19" s="74">
        <f>152*C19*E19</f>
        <v>760</v>
      </c>
      <c r="I19" s="74">
        <f>(F19+G19+H19)*16%</f>
        <v>4711.4000000000005</v>
      </c>
      <c r="J19" s="81">
        <f>I19+H19+G19+F19</f>
        <v>34157.65</v>
      </c>
    </row>
    <row r="20" spans="1:10" s="41" customFormat="1">
      <c r="A20" s="429"/>
      <c r="B20" s="14" t="s">
        <v>73</v>
      </c>
      <c r="C20" s="15">
        <v>5</v>
      </c>
      <c r="D20" s="16">
        <v>36</v>
      </c>
      <c r="E20" s="15">
        <v>1</v>
      </c>
      <c r="F20" s="16"/>
      <c r="G20" s="16"/>
      <c r="H20" s="16">
        <f>E20*D20*C20</f>
        <v>180</v>
      </c>
      <c r="I20" s="16">
        <v>0</v>
      </c>
      <c r="J20" s="17">
        <f t="shared" ref="J20:J25" si="0">I20+H20+G20+F20</f>
        <v>180</v>
      </c>
    </row>
    <row r="21" spans="1:10" s="41" customFormat="1" ht="14.45" customHeight="1">
      <c r="A21" s="427" t="s">
        <v>74</v>
      </c>
      <c r="B21" s="46" t="s">
        <v>72</v>
      </c>
      <c r="C21" s="47">
        <v>30</v>
      </c>
      <c r="D21" s="48">
        <v>5598.45</v>
      </c>
      <c r="E21" s="47">
        <v>3</v>
      </c>
      <c r="F21" s="48">
        <f>SUM(C21*D21*E21)</f>
        <v>503860.5</v>
      </c>
      <c r="G21" s="74">
        <f>138.8*C21*E21</f>
        <v>12492</v>
      </c>
      <c r="H21" s="74">
        <f>152*C21*E21</f>
        <v>13680</v>
      </c>
      <c r="I21" s="74">
        <f>(F21+G21+H21)*16%</f>
        <v>84805.2</v>
      </c>
      <c r="J21" s="49">
        <f>I21+H21+G21+F21</f>
        <v>614837.69999999995</v>
      </c>
    </row>
    <row r="22" spans="1:10" s="41" customFormat="1">
      <c r="A22" s="428"/>
      <c r="B22" s="9" t="s">
        <v>73</v>
      </c>
      <c r="C22" s="10">
        <v>30</v>
      </c>
      <c r="D22" s="11">
        <v>36</v>
      </c>
      <c r="E22" s="10">
        <v>3</v>
      </c>
      <c r="F22" s="11"/>
      <c r="G22" s="11"/>
      <c r="H22" s="11">
        <f>E22*D22*C22</f>
        <v>3240</v>
      </c>
      <c r="I22" s="11">
        <v>0</v>
      </c>
      <c r="J22" s="12">
        <f t="shared" ref="J22" si="1">I22+H22+G22+F22</f>
        <v>3240</v>
      </c>
    </row>
    <row r="23" spans="1:10" s="41" customFormat="1" ht="14.45" customHeight="1">
      <c r="A23" s="428"/>
      <c r="B23" s="70" t="s">
        <v>155</v>
      </c>
      <c r="C23" s="72">
        <v>190</v>
      </c>
      <c r="D23" s="74">
        <v>5525.02</v>
      </c>
      <c r="E23" s="72">
        <v>3</v>
      </c>
      <c r="F23" s="74">
        <f>SUM(C23*D23*E23)</f>
        <v>3149261.4000000004</v>
      </c>
      <c r="G23" s="74">
        <f>136.98*C23*E23</f>
        <v>78078.599999999991</v>
      </c>
      <c r="H23" s="74">
        <f>304*C23*E23</f>
        <v>173280</v>
      </c>
      <c r="I23" s="74">
        <f>(F23+G23+H23)*16%</f>
        <v>544099.20000000007</v>
      </c>
      <c r="J23" s="81">
        <f t="shared" si="0"/>
        <v>3944719.2</v>
      </c>
    </row>
    <row r="24" spans="1:10" s="41" customFormat="1">
      <c r="A24" s="428"/>
      <c r="B24" s="42" t="s">
        <v>73</v>
      </c>
      <c r="C24" s="43">
        <v>190</v>
      </c>
      <c r="D24" s="44">
        <v>59</v>
      </c>
      <c r="E24" s="43">
        <v>3</v>
      </c>
      <c r="F24" s="44"/>
      <c r="G24" s="44"/>
      <c r="H24" s="44">
        <f>E24*D24*C24</f>
        <v>33630</v>
      </c>
      <c r="I24" s="44">
        <v>0</v>
      </c>
      <c r="J24" s="45">
        <f t="shared" si="0"/>
        <v>33630</v>
      </c>
    </row>
    <row r="25" spans="1:10" s="41" customFormat="1" ht="27.6" customHeight="1">
      <c r="A25" s="429"/>
      <c r="B25" s="99" t="s">
        <v>76</v>
      </c>
      <c r="C25" s="100">
        <v>-4</v>
      </c>
      <c r="D25" s="101">
        <v>-5598.45</v>
      </c>
      <c r="E25" s="100">
        <v>-3</v>
      </c>
      <c r="F25" s="101">
        <f>SUM(C25*D25*E25)</f>
        <v>-67181.399999999994</v>
      </c>
      <c r="G25" s="248">
        <f>-138.8*C25*E25</f>
        <v>-1665.6000000000001</v>
      </c>
      <c r="H25" s="248">
        <f>-152*C25*E25</f>
        <v>-1824</v>
      </c>
      <c r="I25" s="248">
        <f>(F25+G25+H25)*16%</f>
        <v>-11307.36</v>
      </c>
      <c r="J25" s="102">
        <f t="shared" si="0"/>
        <v>-81978.36</v>
      </c>
    </row>
    <row r="26" spans="1:10" s="41" customFormat="1" ht="27.6" customHeight="1">
      <c r="A26" s="418"/>
      <c r="B26" s="172" t="s">
        <v>77</v>
      </c>
      <c r="C26" s="173">
        <v>1</v>
      </c>
      <c r="D26" s="174">
        <v>50000</v>
      </c>
      <c r="E26" s="173">
        <v>1</v>
      </c>
      <c r="F26" s="174">
        <f>SUM(C26*D26*E26)</f>
        <v>50000</v>
      </c>
      <c r="G26" s="174">
        <f>138.8*C26*E26</f>
        <v>138.80000000000001</v>
      </c>
      <c r="H26" s="174">
        <f>152*C26*E26</f>
        <v>152</v>
      </c>
      <c r="I26" s="174">
        <f>(F26+G26+H26)*16%</f>
        <v>8046.5280000000002</v>
      </c>
      <c r="J26" s="175">
        <f>I26+H26+G26+F26</f>
        <v>58337.328000000001</v>
      </c>
    </row>
    <row r="27" spans="1:10">
      <c r="A27" s="18"/>
      <c r="B27" s="19" t="s">
        <v>78</v>
      </c>
      <c r="C27" s="20"/>
      <c r="D27" s="21"/>
      <c r="E27" s="20"/>
      <c r="F27" s="22">
        <f>SUM(F19:F26)</f>
        <v>3663932.7500000005</v>
      </c>
      <c r="G27" s="22">
        <f>SUM(G19:G26)</f>
        <v>89737.799999999988</v>
      </c>
      <c r="H27" s="22">
        <f>SUM(H19:H26)</f>
        <v>223098</v>
      </c>
      <c r="I27" s="22">
        <f>SUM(I19:I26)</f>
        <v>630354.96800000011</v>
      </c>
      <c r="J27" s="22">
        <f>SUM(J19:J26)</f>
        <v>4607123.5179999992</v>
      </c>
    </row>
    <row r="28" spans="1:10">
      <c r="A28" s="23"/>
      <c r="B28" s="28" t="s">
        <v>79</v>
      </c>
      <c r="C28" s="82"/>
      <c r="D28" s="83"/>
      <c r="E28" s="82"/>
      <c r="F28" s="83">
        <f>F27</f>
        <v>3663932.7500000005</v>
      </c>
      <c r="G28" s="83">
        <f t="shared" ref="G28:J28" si="2">G27</f>
        <v>89737.799999999988</v>
      </c>
      <c r="H28" s="83">
        <f t="shared" si="2"/>
        <v>223098</v>
      </c>
      <c r="I28" s="83">
        <f t="shared" si="2"/>
        <v>630354.96800000011</v>
      </c>
      <c r="J28" s="83">
        <f t="shared" si="2"/>
        <v>4607123.5179999992</v>
      </c>
    </row>
    <row r="29" spans="1:10">
      <c r="A29" s="18"/>
      <c r="B29" s="29"/>
      <c r="C29" s="20"/>
      <c r="D29" s="30"/>
      <c r="E29" s="20"/>
      <c r="F29" s="30"/>
      <c r="G29" s="30"/>
      <c r="H29" s="30"/>
      <c r="I29" s="30"/>
      <c r="J29" s="30"/>
    </row>
    <row r="30" spans="1:10">
      <c r="A30" s="18"/>
      <c r="B30" s="29"/>
      <c r="C30" s="20"/>
      <c r="D30" s="30"/>
      <c r="E30" s="20"/>
      <c r="F30" s="30"/>
      <c r="G30" s="30"/>
      <c r="H30" s="30"/>
      <c r="I30" s="30"/>
      <c r="J30" s="30"/>
    </row>
    <row r="31" spans="1:10">
      <c r="A31" s="431" t="s">
        <v>80</v>
      </c>
      <c r="B31" s="432"/>
      <c r="C31" s="7"/>
      <c r="D31" s="7"/>
      <c r="E31" s="7"/>
      <c r="F31" s="7"/>
      <c r="G31" s="7"/>
      <c r="H31" s="7"/>
      <c r="I31" s="7"/>
      <c r="J31" s="7"/>
    </row>
    <row r="32" spans="1:10">
      <c r="A32" s="78" t="s">
        <v>62</v>
      </c>
      <c r="B32" s="79" t="s">
        <v>13</v>
      </c>
      <c r="C32" s="80" t="s">
        <v>63</v>
      </c>
      <c r="D32" s="80" t="s">
        <v>64</v>
      </c>
      <c r="E32" s="80" t="s">
        <v>65</v>
      </c>
      <c r="F32" s="80" t="s">
        <v>66</v>
      </c>
      <c r="G32" s="80" t="s">
        <v>27</v>
      </c>
      <c r="H32" s="80" t="s">
        <v>68</v>
      </c>
      <c r="I32" s="80" t="s">
        <v>69</v>
      </c>
      <c r="J32" s="8" t="s">
        <v>70</v>
      </c>
    </row>
    <row r="33" spans="1:10" s="41" customFormat="1" ht="36.75">
      <c r="A33" s="434" t="s">
        <v>71</v>
      </c>
      <c r="B33" s="128" t="s">
        <v>81</v>
      </c>
      <c r="C33" s="72">
        <v>5</v>
      </c>
      <c r="D33" s="71">
        <v>0</v>
      </c>
      <c r="E33" s="72">
        <v>1</v>
      </c>
      <c r="F33" s="74">
        <f t="shared" ref="F33:F41" si="3">SUM(C33*D33*E33)</f>
        <v>0</v>
      </c>
      <c r="G33" s="71"/>
      <c r="H33" s="71">
        <f t="shared" ref="H33:H36" si="4">F33*15%</f>
        <v>0</v>
      </c>
      <c r="I33" s="71">
        <f t="shared" ref="I33:I36" si="5">(F33*16%)+(H33*16%)</f>
        <v>0</v>
      </c>
      <c r="J33" s="73">
        <f t="shared" ref="J33:J41" si="6">I33+H33+G33+F33</f>
        <v>0</v>
      </c>
    </row>
    <row r="34" spans="1:10" s="41" customFormat="1">
      <c r="A34" s="436"/>
      <c r="B34" s="126" t="s">
        <v>82</v>
      </c>
      <c r="C34" s="57">
        <v>5</v>
      </c>
      <c r="D34" s="58">
        <v>0</v>
      </c>
      <c r="E34" s="57">
        <v>1</v>
      </c>
      <c r="F34" s="59">
        <f t="shared" si="3"/>
        <v>0</v>
      </c>
      <c r="G34" s="58"/>
      <c r="H34" s="58">
        <f t="shared" si="4"/>
        <v>0</v>
      </c>
      <c r="I34" s="58">
        <f t="shared" si="5"/>
        <v>0</v>
      </c>
      <c r="J34" s="60">
        <f t="shared" si="6"/>
        <v>0</v>
      </c>
    </row>
    <row r="35" spans="1:10" s="41" customFormat="1" ht="36.75">
      <c r="A35" s="435" t="s">
        <v>83</v>
      </c>
      <c r="B35" s="260" t="s">
        <v>84</v>
      </c>
      <c r="C35" s="10">
        <v>5</v>
      </c>
      <c r="D35" s="31">
        <v>0</v>
      </c>
      <c r="E35" s="10">
        <v>1</v>
      </c>
      <c r="F35" s="48">
        <f t="shared" si="3"/>
        <v>0</v>
      </c>
      <c r="G35" s="31"/>
      <c r="H35" s="31">
        <f t="shared" si="4"/>
        <v>0</v>
      </c>
      <c r="I35" s="31">
        <f t="shared" si="5"/>
        <v>0</v>
      </c>
      <c r="J35" s="32">
        <f t="shared" si="6"/>
        <v>0</v>
      </c>
    </row>
    <row r="36" spans="1:10" s="41" customFormat="1" ht="24.75">
      <c r="A36" s="437"/>
      <c r="B36" s="260" t="s">
        <v>85</v>
      </c>
      <c r="C36" s="10">
        <v>410</v>
      </c>
      <c r="D36" s="31">
        <v>0</v>
      </c>
      <c r="E36" s="10">
        <v>1</v>
      </c>
      <c r="F36" s="48">
        <f t="shared" si="3"/>
        <v>0</v>
      </c>
      <c r="G36" s="31"/>
      <c r="H36" s="31">
        <f t="shared" si="4"/>
        <v>0</v>
      </c>
      <c r="I36" s="31">
        <f t="shared" si="5"/>
        <v>0</v>
      </c>
      <c r="J36" s="32">
        <f t="shared" si="6"/>
        <v>0</v>
      </c>
    </row>
    <row r="37" spans="1:10" s="41" customFormat="1" ht="60.75" customHeight="1">
      <c r="A37" s="437"/>
      <c r="B37" s="129" t="s">
        <v>296</v>
      </c>
      <c r="C37" s="10">
        <v>410</v>
      </c>
      <c r="D37" s="31">
        <v>0</v>
      </c>
      <c r="E37" s="10">
        <v>1</v>
      </c>
      <c r="F37" s="48">
        <f t="shared" si="3"/>
        <v>0</v>
      </c>
      <c r="G37" s="31"/>
      <c r="H37" s="31">
        <f>F37*15%</f>
        <v>0</v>
      </c>
      <c r="I37" s="31">
        <f>(F37*16%)+(H37*16%)</f>
        <v>0</v>
      </c>
      <c r="J37" s="32">
        <f t="shared" si="6"/>
        <v>0</v>
      </c>
    </row>
    <row r="38" spans="1:10" s="41" customFormat="1" ht="61.5">
      <c r="A38" s="437"/>
      <c r="B38" s="268" t="s">
        <v>268</v>
      </c>
      <c r="C38" s="43">
        <v>410</v>
      </c>
      <c r="D38" s="245">
        <v>313</v>
      </c>
      <c r="E38" s="43">
        <v>0</v>
      </c>
      <c r="F38" s="54">
        <f t="shared" si="3"/>
        <v>0</v>
      </c>
      <c r="G38" s="63"/>
      <c r="H38" s="63">
        <f>F38*15%</f>
        <v>0</v>
      </c>
      <c r="I38" s="63">
        <f>(F38*16%)+(H38*16%)</f>
        <v>0</v>
      </c>
      <c r="J38" s="64">
        <f t="shared" si="6"/>
        <v>0</v>
      </c>
    </row>
    <row r="39" spans="1:10" s="41" customFormat="1" ht="41.25" customHeight="1">
      <c r="A39" s="437"/>
      <c r="B39" s="267" t="s">
        <v>297</v>
      </c>
      <c r="C39" s="43">
        <v>410</v>
      </c>
      <c r="D39" s="63">
        <v>0</v>
      </c>
      <c r="E39" s="43">
        <v>1</v>
      </c>
      <c r="F39" s="44">
        <f t="shared" si="3"/>
        <v>0</v>
      </c>
      <c r="G39" s="63"/>
      <c r="H39" s="63">
        <f t="shared" ref="H39:H41" si="7">F39*15%</f>
        <v>0</v>
      </c>
      <c r="I39" s="63">
        <f t="shared" ref="I39:I41" si="8">(F39*16%)+(H39*16%)</f>
        <v>0</v>
      </c>
      <c r="J39" s="64">
        <f t="shared" si="6"/>
        <v>0</v>
      </c>
    </row>
    <row r="40" spans="1:10" s="41" customFormat="1" ht="37.5" customHeight="1">
      <c r="A40" s="437"/>
      <c r="B40" s="272" t="s">
        <v>298</v>
      </c>
      <c r="C40" s="43">
        <v>410</v>
      </c>
      <c r="D40" s="63">
        <v>810</v>
      </c>
      <c r="E40" s="43">
        <v>1</v>
      </c>
      <c r="F40" s="44">
        <f t="shared" si="3"/>
        <v>332100</v>
      </c>
      <c r="G40" s="63"/>
      <c r="H40" s="63">
        <f t="shared" si="7"/>
        <v>49815</v>
      </c>
      <c r="I40" s="63">
        <f t="shared" si="8"/>
        <v>61106.400000000001</v>
      </c>
      <c r="J40" s="64">
        <f t="shared" si="6"/>
        <v>443021.4</v>
      </c>
    </row>
    <row r="41" spans="1:10" s="41" customFormat="1" ht="25.5" customHeight="1">
      <c r="A41" s="437"/>
      <c r="B41" s="131" t="s">
        <v>299</v>
      </c>
      <c r="C41" s="43">
        <v>77</v>
      </c>
      <c r="D41" s="63">
        <v>900</v>
      </c>
      <c r="E41" s="43">
        <v>1</v>
      </c>
      <c r="F41" s="44">
        <f t="shared" si="3"/>
        <v>69300</v>
      </c>
      <c r="G41" s="63"/>
      <c r="H41" s="63">
        <f t="shared" si="7"/>
        <v>10395</v>
      </c>
      <c r="I41" s="63">
        <f t="shared" si="8"/>
        <v>12751.2</v>
      </c>
      <c r="J41" s="64">
        <f t="shared" si="6"/>
        <v>92446.2</v>
      </c>
    </row>
    <row r="42" spans="1:10" s="41" customFormat="1">
      <c r="A42" s="434" t="s">
        <v>92</v>
      </c>
      <c r="B42" s="128" t="s">
        <v>93</v>
      </c>
      <c r="C42" s="72">
        <v>410</v>
      </c>
      <c r="D42" s="71">
        <v>0</v>
      </c>
      <c r="E42" s="72">
        <v>1</v>
      </c>
      <c r="F42" s="74">
        <f>SUM(C42*D42*E42)</f>
        <v>0</v>
      </c>
      <c r="G42" s="71"/>
      <c r="H42" s="71">
        <f>F42*15%</f>
        <v>0</v>
      </c>
      <c r="I42" s="71">
        <f>(F42*16%)+(H42*16%)</f>
        <v>0</v>
      </c>
      <c r="J42" s="73">
        <f>I42+H42+G42+F42</f>
        <v>0</v>
      </c>
    </row>
    <row r="43" spans="1:10" s="41" customFormat="1" ht="57.75" customHeight="1">
      <c r="A43" s="437"/>
      <c r="B43" s="129" t="s">
        <v>300</v>
      </c>
      <c r="C43" s="10">
        <v>410</v>
      </c>
      <c r="D43" s="31">
        <v>0</v>
      </c>
      <c r="E43" s="10">
        <v>1</v>
      </c>
      <c r="F43" s="48">
        <f t="shared" ref="F43:F48" si="9">SUM(C43*D43*E43)</f>
        <v>0</v>
      </c>
      <c r="G43" s="31"/>
      <c r="H43" s="31">
        <f>F43*15%</f>
        <v>0</v>
      </c>
      <c r="I43" s="31">
        <f>(F43*16%)+(H43*16%)</f>
        <v>0</v>
      </c>
      <c r="J43" s="32">
        <f t="shared" ref="J43:J48" si="10">I43+H43+G43+F43</f>
        <v>0</v>
      </c>
    </row>
    <row r="44" spans="1:10" s="41" customFormat="1" ht="61.5" customHeight="1">
      <c r="A44" s="437"/>
      <c r="B44" s="129" t="s">
        <v>301</v>
      </c>
      <c r="C44" s="183">
        <v>8</v>
      </c>
      <c r="D44" s="184">
        <v>215</v>
      </c>
      <c r="E44" s="183">
        <v>1</v>
      </c>
      <c r="F44" s="48">
        <f>SUM(C44*D44*E44)</f>
        <v>1720</v>
      </c>
      <c r="G44" s="31"/>
      <c r="H44" s="31">
        <f>F44*15%</f>
        <v>258</v>
      </c>
      <c r="I44" s="31">
        <f>(F44*16%)+(H44*16%)</f>
        <v>316.48</v>
      </c>
      <c r="J44" s="32">
        <f>I44+H44+G44+F44</f>
        <v>2294.48</v>
      </c>
    </row>
    <row r="45" spans="1:10" s="41" customFormat="1" ht="78.75" customHeight="1">
      <c r="A45" s="437"/>
      <c r="B45" s="268" t="s">
        <v>272</v>
      </c>
      <c r="C45" s="43">
        <v>410</v>
      </c>
      <c r="D45" s="245">
        <v>313</v>
      </c>
      <c r="E45" s="43">
        <v>0</v>
      </c>
      <c r="F45" s="48"/>
      <c r="G45" s="31"/>
      <c r="H45" s="31"/>
      <c r="I45" s="31"/>
      <c r="J45" s="32"/>
    </row>
    <row r="46" spans="1:10" s="41" customFormat="1" ht="24.75">
      <c r="A46" s="437"/>
      <c r="B46" s="260" t="s">
        <v>95</v>
      </c>
      <c r="C46" s="10">
        <v>410</v>
      </c>
      <c r="D46" s="31">
        <v>0</v>
      </c>
      <c r="E46" s="10">
        <v>1</v>
      </c>
      <c r="F46" s="48">
        <f t="shared" ref="F46" si="11">SUM(C46*D46*E46)</f>
        <v>0</v>
      </c>
      <c r="G46" s="31"/>
      <c r="H46" s="31">
        <f t="shared" ref="H46" si="12">F46*15%</f>
        <v>0</v>
      </c>
      <c r="I46" s="31">
        <f t="shared" ref="I46" si="13">(F46*16%)+(H46*16%)</f>
        <v>0</v>
      </c>
      <c r="J46" s="32">
        <f t="shared" ref="J46" si="14">I46+H46+G46+F46</f>
        <v>0</v>
      </c>
    </row>
    <row r="47" spans="1:10" s="41" customFormat="1" ht="61.5">
      <c r="A47" s="437"/>
      <c r="B47" s="268" t="s">
        <v>268</v>
      </c>
      <c r="C47" s="43">
        <v>410</v>
      </c>
      <c r="D47" s="245">
        <v>313</v>
      </c>
      <c r="E47" s="43">
        <v>0</v>
      </c>
      <c r="F47" s="48"/>
      <c r="G47" s="31"/>
      <c r="H47" s="31"/>
      <c r="I47" s="31"/>
      <c r="J47" s="32"/>
    </row>
    <row r="48" spans="1:10" s="41" customFormat="1" ht="49.9" customHeight="1">
      <c r="A48" s="437"/>
      <c r="B48" s="261" t="s">
        <v>97</v>
      </c>
      <c r="C48" s="43">
        <v>410</v>
      </c>
      <c r="D48" s="63">
        <v>0</v>
      </c>
      <c r="E48" s="43">
        <v>1</v>
      </c>
      <c r="F48" s="11">
        <f t="shared" si="9"/>
        <v>0</v>
      </c>
      <c r="G48" s="31"/>
      <c r="H48" s="31">
        <f t="shared" ref="H48" si="15">F48*15%</f>
        <v>0</v>
      </c>
      <c r="I48" s="31">
        <f t="shared" ref="I48" si="16">(F48*16%)+(H48*16%)</f>
        <v>0</v>
      </c>
      <c r="J48" s="32">
        <f t="shared" si="10"/>
        <v>0</v>
      </c>
    </row>
    <row r="49" spans="1:10" s="41" customFormat="1">
      <c r="A49" s="434" t="s">
        <v>98</v>
      </c>
      <c r="B49" s="262" t="s">
        <v>168</v>
      </c>
      <c r="C49" s="72">
        <v>410</v>
      </c>
      <c r="D49" s="71">
        <v>0</v>
      </c>
      <c r="E49" s="72"/>
      <c r="F49" s="74">
        <f>SUM(C49*D49*E49)</f>
        <v>0</v>
      </c>
      <c r="G49" s="71"/>
      <c r="H49" s="71">
        <f>F49*15%</f>
        <v>0</v>
      </c>
      <c r="I49" s="71">
        <f>(F49*16%)+(H49*16%)</f>
        <v>0</v>
      </c>
      <c r="J49" s="73">
        <f>I49+H49+G49+F49</f>
        <v>0</v>
      </c>
    </row>
    <row r="50" spans="1:10" s="41" customFormat="1" ht="58.5" customHeight="1">
      <c r="A50" s="435"/>
      <c r="B50" s="129" t="s">
        <v>296</v>
      </c>
      <c r="C50" s="10">
        <v>410</v>
      </c>
      <c r="D50" s="31">
        <v>0</v>
      </c>
      <c r="E50" s="10">
        <v>1</v>
      </c>
      <c r="F50" s="11">
        <f t="shared" ref="F50:F55" si="17">SUM(C50*D50*E50)</f>
        <v>0</v>
      </c>
      <c r="G50" s="31"/>
      <c r="H50" s="31">
        <f t="shared" ref="H50:H55" si="18">F50*15%</f>
        <v>0</v>
      </c>
      <c r="I50" s="31">
        <f t="shared" ref="I50:I55" si="19">(F50*16%)+(H50*16%)</f>
        <v>0</v>
      </c>
      <c r="J50" s="32">
        <f t="shared" ref="J50:J55" si="20">I50+H50+G50+F50</f>
        <v>0</v>
      </c>
    </row>
    <row r="51" spans="1:10" s="41" customFormat="1" ht="58.5" customHeight="1">
      <c r="A51" s="435"/>
      <c r="B51" s="129" t="s">
        <v>301</v>
      </c>
      <c r="C51" s="183">
        <v>8</v>
      </c>
      <c r="D51" s="184">
        <v>215</v>
      </c>
      <c r="E51" s="183">
        <v>1</v>
      </c>
      <c r="F51" s="209">
        <f>SUM(C51*D51*E51)</f>
        <v>1720</v>
      </c>
      <c r="G51" s="31"/>
      <c r="H51" s="31">
        <f>F51*15%</f>
        <v>258</v>
      </c>
      <c r="I51" s="31">
        <f>(F51*16%)+(H51*16%)</f>
        <v>316.48</v>
      </c>
      <c r="J51" s="32">
        <f>I51+H51+G51+F51</f>
        <v>2294.48</v>
      </c>
    </row>
    <row r="52" spans="1:10" s="41" customFormat="1" ht="61.5">
      <c r="A52" s="435"/>
      <c r="B52" s="268" t="s">
        <v>272</v>
      </c>
      <c r="C52" s="43">
        <v>410</v>
      </c>
      <c r="D52" s="245">
        <v>313</v>
      </c>
      <c r="E52" s="43">
        <v>0</v>
      </c>
      <c r="F52" s="11">
        <f t="shared" si="17"/>
        <v>0</v>
      </c>
      <c r="G52" s="31"/>
      <c r="H52" s="31">
        <f t="shared" si="18"/>
        <v>0</v>
      </c>
      <c r="I52" s="31">
        <f t="shared" si="19"/>
        <v>0</v>
      </c>
      <c r="J52" s="32">
        <f t="shared" si="20"/>
        <v>0</v>
      </c>
    </row>
    <row r="53" spans="1:10" s="41" customFormat="1" ht="24.75">
      <c r="A53" s="435"/>
      <c r="B53" s="260" t="s">
        <v>85</v>
      </c>
      <c r="C53" s="10">
        <v>410</v>
      </c>
      <c r="D53" s="31">
        <v>0</v>
      </c>
      <c r="E53" s="10">
        <v>1</v>
      </c>
      <c r="F53" s="11">
        <f t="shared" si="17"/>
        <v>0</v>
      </c>
      <c r="G53" s="31"/>
      <c r="H53" s="31">
        <f t="shared" si="18"/>
        <v>0</v>
      </c>
      <c r="I53" s="31">
        <f t="shared" si="19"/>
        <v>0</v>
      </c>
      <c r="J53" s="32">
        <f t="shared" si="20"/>
        <v>0</v>
      </c>
    </row>
    <row r="54" spans="1:10" s="41" customFormat="1" ht="36.75">
      <c r="A54" s="435"/>
      <c r="B54" s="131" t="s">
        <v>302</v>
      </c>
      <c r="C54" s="10">
        <v>410</v>
      </c>
      <c r="D54" s="31">
        <v>0</v>
      </c>
      <c r="E54" s="10">
        <v>1</v>
      </c>
      <c r="F54" s="11">
        <f>SUM(C54*D54*E54)</f>
        <v>0</v>
      </c>
      <c r="G54" s="31"/>
      <c r="H54" s="31">
        <f>F54*15%</f>
        <v>0</v>
      </c>
      <c r="I54" s="31">
        <f>(F54*16%)+(H54*16%)</f>
        <v>0</v>
      </c>
      <c r="J54" s="32">
        <f>I54+H54+G54+F54</f>
        <v>0</v>
      </c>
    </row>
    <row r="55" spans="1:10" s="41" customFormat="1" ht="23.25" customHeight="1">
      <c r="A55" s="435"/>
      <c r="B55" s="271" t="s">
        <v>299</v>
      </c>
      <c r="C55" s="186">
        <v>77</v>
      </c>
      <c r="D55" s="187">
        <v>900</v>
      </c>
      <c r="E55" s="186">
        <v>1</v>
      </c>
      <c r="F55" s="187">
        <f t="shared" si="17"/>
        <v>69300</v>
      </c>
      <c r="G55" s="187"/>
      <c r="H55" s="187">
        <f t="shared" si="18"/>
        <v>10395</v>
      </c>
      <c r="I55" s="187">
        <f t="shared" si="19"/>
        <v>12751.2</v>
      </c>
      <c r="J55" s="188">
        <f t="shared" si="20"/>
        <v>92446.2</v>
      </c>
    </row>
    <row r="56" spans="1:10" s="41" customFormat="1">
      <c r="A56" s="75" t="s">
        <v>101</v>
      </c>
      <c r="B56" s="263" t="s">
        <v>93</v>
      </c>
      <c r="C56" s="57">
        <v>410</v>
      </c>
      <c r="D56" s="58">
        <v>0</v>
      </c>
      <c r="E56" s="57">
        <v>1</v>
      </c>
      <c r="F56" s="59">
        <f>SUM(C56*D56*E56)</f>
        <v>0</v>
      </c>
      <c r="G56" s="58"/>
      <c r="H56" s="58">
        <f>F56*15%</f>
        <v>0</v>
      </c>
      <c r="I56" s="58">
        <f>(F56*16%)+(H56*16%)</f>
        <v>0</v>
      </c>
      <c r="J56" s="60">
        <f>I56+H56+G56+F56</f>
        <v>0</v>
      </c>
    </row>
    <row r="57" spans="1:10">
      <c r="A57" s="18"/>
      <c r="B57" s="19" t="s">
        <v>78</v>
      </c>
      <c r="C57" s="20"/>
      <c r="D57" s="21"/>
      <c r="E57" s="20"/>
      <c r="F57" s="22">
        <f>SUM(F33:F56)</f>
        <v>474140</v>
      </c>
      <c r="G57" s="22">
        <f>SUM(G33:G56)</f>
        <v>0</v>
      </c>
      <c r="H57" s="22">
        <f>SUM(H33:H56)</f>
        <v>71121</v>
      </c>
      <c r="I57" s="22">
        <f>SUM(I33:I56)</f>
        <v>87241.76</v>
      </c>
      <c r="J57" s="22">
        <f>SUM(J33:J56)</f>
        <v>632502.75999999989</v>
      </c>
    </row>
    <row r="58" spans="1:10">
      <c r="A58" s="23"/>
      <c r="B58" s="28" t="s">
        <v>102</v>
      </c>
      <c r="C58" s="82"/>
      <c r="D58" s="83"/>
      <c r="E58" s="82"/>
      <c r="F58" s="83">
        <f>F57</f>
        <v>474140</v>
      </c>
      <c r="G58" s="83">
        <f t="shared" ref="G58:J58" si="21">G57</f>
        <v>0</v>
      </c>
      <c r="H58" s="83">
        <f t="shared" si="21"/>
        <v>71121</v>
      </c>
      <c r="I58" s="83">
        <f t="shared" si="21"/>
        <v>87241.76</v>
      </c>
      <c r="J58" s="83">
        <f t="shared" si="21"/>
        <v>632502.75999999989</v>
      </c>
    </row>
    <row r="59" spans="1:10">
      <c r="A59" s="18"/>
      <c r="B59" s="29"/>
      <c r="C59" s="20"/>
      <c r="D59" s="21"/>
      <c r="E59" s="20"/>
      <c r="F59" s="30"/>
      <c r="G59" s="30"/>
      <c r="H59" s="30"/>
      <c r="I59" s="30"/>
      <c r="J59" s="30"/>
    </row>
    <row r="60" spans="1:10">
      <c r="A60" s="18"/>
      <c r="B60" s="29"/>
      <c r="C60" s="20"/>
      <c r="D60" s="21"/>
      <c r="E60" s="20"/>
      <c r="F60" s="30"/>
      <c r="G60" s="30"/>
      <c r="H60" s="30"/>
      <c r="I60" s="30"/>
      <c r="J60" s="30"/>
    </row>
    <row r="61" spans="1:10">
      <c r="A61" s="431" t="s">
        <v>103</v>
      </c>
      <c r="B61" s="432"/>
      <c r="C61" s="7"/>
      <c r="D61" s="7"/>
      <c r="E61" s="7"/>
      <c r="F61" s="7"/>
      <c r="G61" s="7"/>
      <c r="H61" s="7"/>
      <c r="I61" s="7"/>
      <c r="J61" s="7"/>
    </row>
    <row r="62" spans="1:10">
      <c r="A62" s="84" t="s">
        <v>62</v>
      </c>
      <c r="B62" s="79" t="s">
        <v>13</v>
      </c>
      <c r="C62" s="80" t="s">
        <v>63</v>
      </c>
      <c r="D62" s="80" t="s">
        <v>64</v>
      </c>
      <c r="E62" s="80" t="s">
        <v>65</v>
      </c>
      <c r="F62" s="80" t="s">
        <v>66</v>
      </c>
      <c r="G62" s="80" t="s">
        <v>27</v>
      </c>
      <c r="H62" s="80" t="s">
        <v>68</v>
      </c>
      <c r="I62" s="80" t="s">
        <v>69</v>
      </c>
      <c r="J62" s="8" t="s">
        <v>70</v>
      </c>
    </row>
    <row r="63" spans="1:10">
      <c r="A63" s="427"/>
      <c r="B63" s="70" t="s">
        <v>104</v>
      </c>
      <c r="C63" s="72">
        <v>12</v>
      </c>
      <c r="D63" s="71">
        <v>2096</v>
      </c>
      <c r="E63" s="72">
        <v>1</v>
      </c>
      <c r="F63" s="71">
        <v>25152</v>
      </c>
      <c r="G63" s="71"/>
      <c r="H63" s="71">
        <v>1509.12</v>
      </c>
      <c r="I63" s="71">
        <v>4024.32</v>
      </c>
      <c r="J63" s="73">
        <v>30685.440000000002</v>
      </c>
    </row>
    <row r="64" spans="1:10">
      <c r="A64" s="428"/>
      <c r="B64" s="9" t="s">
        <v>105</v>
      </c>
      <c r="C64" s="10">
        <v>15</v>
      </c>
      <c r="D64" s="31">
        <v>3137</v>
      </c>
      <c r="E64" s="10">
        <v>1</v>
      </c>
      <c r="F64" s="31">
        <v>47055</v>
      </c>
      <c r="G64" s="31"/>
      <c r="H64" s="31">
        <v>2823.2999999999997</v>
      </c>
      <c r="I64" s="31">
        <v>7528.8</v>
      </c>
      <c r="J64" s="32">
        <v>57407.1</v>
      </c>
    </row>
    <row r="65" spans="1:10">
      <c r="A65" s="428"/>
      <c r="B65" s="9" t="s">
        <v>106</v>
      </c>
      <c r="C65" s="10">
        <v>1</v>
      </c>
      <c r="D65" s="31">
        <v>17205</v>
      </c>
      <c r="E65" s="10">
        <v>1</v>
      </c>
      <c r="F65" s="31">
        <v>17205</v>
      </c>
      <c r="G65" s="31"/>
      <c r="H65" s="31">
        <v>1032.3</v>
      </c>
      <c r="I65" s="31">
        <v>2752.8</v>
      </c>
      <c r="J65" s="32">
        <v>20990.1</v>
      </c>
    </row>
    <row r="66" spans="1:10">
      <c r="A66" s="428"/>
      <c r="B66" s="9" t="s">
        <v>107</v>
      </c>
      <c r="C66" s="10">
        <v>1</v>
      </c>
      <c r="D66" s="31">
        <v>18901</v>
      </c>
      <c r="E66" s="10">
        <v>1</v>
      </c>
      <c r="F66" s="31">
        <v>18901</v>
      </c>
      <c r="G66" s="31"/>
      <c r="H66" s="31">
        <v>1134.06</v>
      </c>
      <c r="I66" s="31">
        <v>3024.16</v>
      </c>
      <c r="J66" s="32">
        <v>23059.22</v>
      </c>
    </row>
    <row r="67" spans="1:10">
      <c r="A67" s="428"/>
      <c r="B67" s="42" t="s">
        <v>108</v>
      </c>
      <c r="C67" s="10">
        <v>1</v>
      </c>
      <c r="D67" s="63">
        <v>21011</v>
      </c>
      <c r="E67" s="10">
        <v>1</v>
      </c>
      <c r="F67" s="31">
        <v>21011</v>
      </c>
      <c r="G67" s="31"/>
      <c r="H67" s="31">
        <v>1260.6599999999999</v>
      </c>
      <c r="I67" s="31">
        <v>3361.76</v>
      </c>
      <c r="J67" s="32">
        <v>25633.42</v>
      </c>
    </row>
    <row r="68" spans="1:10">
      <c r="A68" s="428"/>
      <c r="B68" s="42" t="s">
        <v>109</v>
      </c>
      <c r="C68" s="10">
        <v>9</v>
      </c>
      <c r="D68" s="63">
        <v>2096</v>
      </c>
      <c r="E68" s="10">
        <v>1</v>
      </c>
      <c r="F68" s="31">
        <v>18864</v>
      </c>
      <c r="G68" s="31"/>
      <c r="H68" s="31">
        <v>1131.8399999999999</v>
      </c>
      <c r="I68" s="31">
        <v>3018.2400000000002</v>
      </c>
      <c r="J68" s="32">
        <v>23014.080000000002</v>
      </c>
    </row>
    <row r="69" spans="1:10">
      <c r="A69" s="429"/>
      <c r="B69" s="14" t="s">
        <v>110</v>
      </c>
      <c r="C69" s="15">
        <v>17</v>
      </c>
      <c r="D69" s="33">
        <v>3137</v>
      </c>
      <c r="E69" s="15">
        <v>1</v>
      </c>
      <c r="F69" s="33">
        <v>53329</v>
      </c>
      <c r="G69" s="33"/>
      <c r="H69" s="33">
        <v>3199.74</v>
      </c>
      <c r="I69" s="33">
        <v>8532.64</v>
      </c>
      <c r="J69" s="34">
        <v>65061.38</v>
      </c>
    </row>
    <row r="70" spans="1:10">
      <c r="A70" s="427"/>
      <c r="B70" s="77" t="s">
        <v>111</v>
      </c>
      <c r="C70" s="72">
        <v>1</v>
      </c>
      <c r="D70" s="71">
        <v>18901</v>
      </c>
      <c r="E70" s="72">
        <v>1</v>
      </c>
      <c r="F70" s="71">
        <v>18901</v>
      </c>
      <c r="G70" s="71"/>
      <c r="H70" s="71">
        <v>1134.06</v>
      </c>
      <c r="I70" s="71">
        <v>3024.16</v>
      </c>
      <c r="J70" s="73">
        <v>23059.22</v>
      </c>
    </row>
    <row r="71" spans="1:10">
      <c r="A71" s="429"/>
      <c r="B71" s="76" t="s">
        <v>112</v>
      </c>
      <c r="C71" s="57">
        <v>2</v>
      </c>
      <c r="D71" s="58">
        <v>21011</v>
      </c>
      <c r="E71" s="57">
        <v>1</v>
      </c>
      <c r="F71" s="58">
        <v>42022</v>
      </c>
      <c r="G71" s="58"/>
      <c r="H71" s="58">
        <v>2521.3199999999997</v>
      </c>
      <c r="I71" s="58">
        <v>6723.52</v>
      </c>
      <c r="J71" s="60">
        <v>51266.84</v>
      </c>
    </row>
    <row r="72" spans="1:10">
      <c r="A72" s="18"/>
      <c r="B72" s="19" t="s">
        <v>78</v>
      </c>
      <c r="C72" s="20"/>
      <c r="D72" s="21"/>
      <c r="E72" s="20"/>
      <c r="F72" s="27">
        <f>SUM(F63:F71)</f>
        <v>262440</v>
      </c>
      <c r="G72" s="27">
        <f t="shared" ref="G72:J72" si="22">SUM(G63:G71)</f>
        <v>0</v>
      </c>
      <c r="H72" s="27">
        <f t="shared" si="22"/>
        <v>15746.4</v>
      </c>
      <c r="I72" s="27">
        <f t="shared" si="22"/>
        <v>41990.400000000009</v>
      </c>
      <c r="J72" s="27">
        <f t="shared" si="22"/>
        <v>320176.80000000005</v>
      </c>
    </row>
    <row r="73" spans="1:10">
      <c r="A73" s="23"/>
      <c r="B73" s="28" t="s">
        <v>113</v>
      </c>
      <c r="C73" s="82"/>
      <c r="D73" s="83"/>
      <c r="E73" s="82"/>
      <c r="F73" s="83">
        <f>F72</f>
        <v>262440</v>
      </c>
      <c r="G73" s="83">
        <f t="shared" ref="G73:J73" si="23">G72</f>
        <v>0</v>
      </c>
      <c r="H73" s="83">
        <f t="shared" si="23"/>
        <v>15746.4</v>
      </c>
      <c r="I73" s="83">
        <f t="shared" si="23"/>
        <v>41990.400000000009</v>
      </c>
      <c r="J73" s="37">
        <f t="shared" si="23"/>
        <v>320176.80000000005</v>
      </c>
    </row>
    <row r="74" spans="1:10">
      <c r="A74" s="23"/>
      <c r="B74" s="29"/>
      <c r="C74" s="20"/>
      <c r="D74" s="30"/>
      <c r="E74" s="20"/>
      <c r="F74" s="30"/>
      <c r="G74" s="30"/>
      <c r="H74" s="30"/>
      <c r="I74" s="30"/>
      <c r="J74" s="30"/>
    </row>
    <row r="75" spans="1:10">
      <c r="A75" s="431" t="s">
        <v>114</v>
      </c>
      <c r="B75" s="432"/>
      <c r="C75" s="7"/>
      <c r="D75" s="7"/>
      <c r="E75" s="7"/>
      <c r="F75" s="7"/>
      <c r="G75" s="7"/>
      <c r="H75" s="7"/>
      <c r="I75" s="7"/>
      <c r="J75" s="7"/>
    </row>
    <row r="76" spans="1:10">
      <c r="A76" s="66" t="s">
        <v>62</v>
      </c>
      <c r="B76" s="67" t="s">
        <v>13</v>
      </c>
      <c r="C76" s="68" t="s">
        <v>63</v>
      </c>
      <c r="D76" s="68" t="s">
        <v>64</v>
      </c>
      <c r="E76" s="68" t="s">
        <v>65</v>
      </c>
      <c r="F76" s="68" t="s">
        <v>66</v>
      </c>
      <c r="G76" s="68" t="s">
        <v>27</v>
      </c>
      <c r="H76" s="68" t="s">
        <v>68</v>
      </c>
      <c r="I76" s="68" t="s">
        <v>69</v>
      </c>
      <c r="J76" s="69" t="s">
        <v>70</v>
      </c>
    </row>
    <row r="77" spans="1:10" s="41" customFormat="1">
      <c r="A77" s="50"/>
      <c r="B77" s="42"/>
      <c r="C77" s="43"/>
      <c r="D77" s="63"/>
      <c r="E77" s="43"/>
      <c r="F77" s="63"/>
      <c r="G77" s="63"/>
      <c r="H77" s="63"/>
      <c r="I77" s="63"/>
      <c r="J77" s="64"/>
    </row>
    <row r="78" spans="1:10" s="41" customFormat="1">
      <c r="A78" s="50"/>
      <c r="B78" s="42"/>
      <c r="C78" s="43"/>
      <c r="D78" s="63"/>
      <c r="E78" s="43"/>
      <c r="F78" s="63"/>
      <c r="G78" s="63"/>
      <c r="H78" s="63"/>
      <c r="I78" s="63"/>
      <c r="J78" s="64"/>
    </row>
    <row r="79" spans="1:10" s="41" customFormat="1">
      <c r="A79" s="13"/>
      <c r="B79" s="14"/>
      <c r="C79" s="15"/>
      <c r="D79" s="33"/>
      <c r="E79" s="15"/>
      <c r="F79" s="33">
        <f t="shared" ref="F79" si="24">E79+D79+C79</f>
        <v>0</v>
      </c>
      <c r="G79" s="33"/>
      <c r="H79" s="33"/>
      <c r="I79" s="33">
        <f t="shared" ref="I79" si="25">F79*16%</f>
        <v>0</v>
      </c>
      <c r="J79" s="34">
        <f t="shared" ref="J79" si="26">I79+H79+G79+F79</f>
        <v>0</v>
      </c>
    </row>
    <row r="80" spans="1:10">
      <c r="A80" s="18"/>
      <c r="B80" s="19" t="s">
        <v>78</v>
      </c>
      <c r="C80" s="20"/>
      <c r="D80" s="21"/>
      <c r="E80" s="20"/>
      <c r="F80" s="22">
        <f>SUM(F77:F79)</f>
        <v>0</v>
      </c>
      <c r="G80" s="22">
        <f>SUM(G77:G79)</f>
        <v>0</v>
      </c>
      <c r="H80" s="22">
        <f>SUM(H77:H79)</f>
        <v>0</v>
      </c>
      <c r="I80" s="22">
        <f>SUM(I77:I79)</f>
        <v>0</v>
      </c>
      <c r="J80" s="22">
        <f>SUM(J77:J79)</f>
        <v>0</v>
      </c>
    </row>
    <row r="81" spans="1:14">
      <c r="A81" s="23"/>
      <c r="B81" s="28" t="s">
        <v>173</v>
      </c>
      <c r="C81" s="82"/>
      <c r="D81" s="83"/>
      <c r="E81" s="82"/>
      <c r="F81" s="83">
        <f>SUM(F80)</f>
        <v>0</v>
      </c>
      <c r="G81" s="83">
        <f t="shared" ref="G81:J81" si="27">SUM(G80)</f>
        <v>0</v>
      </c>
      <c r="H81" s="83">
        <f t="shared" si="27"/>
        <v>0</v>
      </c>
      <c r="I81" s="83">
        <f t="shared" si="27"/>
        <v>0</v>
      </c>
      <c r="J81" s="83">
        <f t="shared" si="27"/>
        <v>0</v>
      </c>
    </row>
    <row r="82" spans="1:14">
      <c r="A82" s="23"/>
      <c r="B82" s="29"/>
      <c r="C82" s="20"/>
      <c r="D82" s="30"/>
      <c r="E82" s="20"/>
      <c r="F82" s="30"/>
      <c r="G82" s="30"/>
      <c r="H82" s="30"/>
      <c r="I82" s="30"/>
      <c r="J82" s="30"/>
      <c r="N82" t="s">
        <v>116</v>
      </c>
    </row>
    <row r="83" spans="1:14">
      <c r="A83" s="431" t="s">
        <v>117</v>
      </c>
      <c r="B83" s="432"/>
      <c r="C83" s="7"/>
      <c r="D83" s="7"/>
      <c r="E83" s="7"/>
      <c r="F83" s="7"/>
      <c r="G83" s="7"/>
      <c r="H83" s="7"/>
      <c r="I83" s="7"/>
      <c r="J83" s="7"/>
    </row>
    <row r="84" spans="1:14">
      <c r="A84" s="78" t="s">
        <v>62</v>
      </c>
      <c r="B84" s="79" t="s">
        <v>13</v>
      </c>
      <c r="C84" s="80" t="s">
        <v>63</v>
      </c>
      <c r="D84" s="80" t="s">
        <v>64</v>
      </c>
      <c r="E84" s="80" t="s">
        <v>65</v>
      </c>
      <c r="F84" s="80" t="s">
        <v>66</v>
      </c>
      <c r="G84" s="80" t="s">
        <v>27</v>
      </c>
      <c r="H84" s="80" t="s">
        <v>68</v>
      </c>
      <c r="I84" s="80" t="s">
        <v>69</v>
      </c>
      <c r="J84" s="8" t="s">
        <v>70</v>
      </c>
      <c r="N84" t="s">
        <v>116</v>
      </c>
    </row>
    <row r="85" spans="1:14" s="41" customFormat="1" ht="24.75">
      <c r="A85" s="427" t="s">
        <v>74</v>
      </c>
      <c r="B85" s="269" t="s">
        <v>118</v>
      </c>
      <c r="C85" s="72">
        <v>410</v>
      </c>
      <c r="D85" s="74">
        <v>215</v>
      </c>
      <c r="E85" s="72">
        <v>0</v>
      </c>
      <c r="F85" s="71">
        <f t="shared" ref="F85:F92" si="28">SUM(C85*D85*E85)</f>
        <v>0</v>
      </c>
      <c r="G85" s="71"/>
      <c r="H85" s="71"/>
      <c r="I85" s="71">
        <f>F85*16%</f>
        <v>0</v>
      </c>
      <c r="J85" s="73">
        <f>I85+H85+G85+F85</f>
        <v>0</v>
      </c>
    </row>
    <row r="86" spans="1:14" s="41" customFormat="1" ht="54.75" customHeight="1">
      <c r="A86" s="428"/>
      <c r="B86" s="132" t="s">
        <v>274</v>
      </c>
      <c r="C86" s="10">
        <v>1</v>
      </c>
      <c r="D86" s="31">
        <f>800*20</f>
        <v>16000</v>
      </c>
      <c r="E86" s="10">
        <v>0</v>
      </c>
      <c r="F86" s="31">
        <f>SUM(C86*D86*E86)</f>
        <v>0</v>
      </c>
      <c r="G86" s="31"/>
      <c r="H86" s="31"/>
      <c r="I86" s="31">
        <f>F86*16%</f>
        <v>0</v>
      </c>
      <c r="J86" s="32">
        <f>I86+H86+G86+F86</f>
        <v>0</v>
      </c>
    </row>
    <row r="87" spans="1:14" s="41" customFormat="1" ht="35.25" customHeight="1">
      <c r="A87" s="428"/>
      <c r="B87" s="132" t="s">
        <v>303</v>
      </c>
      <c r="C87" s="10">
        <v>1</v>
      </c>
      <c r="D87" s="11">
        <v>215</v>
      </c>
      <c r="E87" s="10">
        <v>0</v>
      </c>
      <c r="F87" s="31">
        <f t="shared" si="28"/>
        <v>0</v>
      </c>
      <c r="G87" s="31"/>
      <c r="H87" s="31"/>
      <c r="I87" s="31">
        <f t="shared" ref="I87:I92" si="29">F87*16%</f>
        <v>0</v>
      </c>
      <c r="J87" s="32">
        <f t="shared" ref="J87:J92" si="30">I87+H87+G87+F87</f>
        <v>0</v>
      </c>
    </row>
    <row r="88" spans="1:14" s="41" customFormat="1" ht="44.25" customHeight="1">
      <c r="A88" s="428"/>
      <c r="B88" s="132" t="s">
        <v>304</v>
      </c>
      <c r="C88" s="10">
        <v>1</v>
      </c>
      <c r="D88" s="11">
        <v>960</v>
      </c>
      <c r="E88" s="10">
        <v>0</v>
      </c>
      <c r="F88" s="31">
        <f t="shared" si="28"/>
        <v>0</v>
      </c>
      <c r="G88" s="31"/>
      <c r="H88" s="31"/>
      <c r="I88" s="31">
        <f t="shared" si="29"/>
        <v>0</v>
      </c>
      <c r="J88" s="32">
        <f t="shared" si="30"/>
        <v>0</v>
      </c>
    </row>
    <row r="89" spans="1:14" s="41" customFormat="1" ht="62.45" customHeight="1">
      <c r="A89" s="93" t="s">
        <v>71</v>
      </c>
      <c r="B89" s="127" t="s">
        <v>305</v>
      </c>
      <c r="C89" s="94">
        <v>1</v>
      </c>
      <c r="D89" s="95">
        <v>0</v>
      </c>
      <c r="E89" s="94">
        <v>1</v>
      </c>
      <c r="F89" s="96">
        <f t="shared" si="28"/>
        <v>0</v>
      </c>
      <c r="G89" s="96"/>
      <c r="H89" s="96"/>
      <c r="I89" s="96">
        <f t="shared" si="29"/>
        <v>0</v>
      </c>
      <c r="J89" s="97">
        <f t="shared" si="30"/>
        <v>0</v>
      </c>
    </row>
    <row r="90" spans="1:14" s="41" customFormat="1" ht="36.75" customHeight="1">
      <c r="A90" s="75" t="s">
        <v>83</v>
      </c>
      <c r="B90" s="126" t="s">
        <v>306</v>
      </c>
      <c r="C90" s="57">
        <v>1</v>
      </c>
      <c r="D90" s="59">
        <v>0</v>
      </c>
      <c r="E90" s="57">
        <v>1</v>
      </c>
      <c r="F90" s="58">
        <f t="shared" si="28"/>
        <v>0</v>
      </c>
      <c r="G90" s="58"/>
      <c r="H90" s="58"/>
      <c r="I90" s="58">
        <f t="shared" si="29"/>
        <v>0</v>
      </c>
      <c r="J90" s="60">
        <f t="shared" si="30"/>
        <v>0</v>
      </c>
    </row>
    <row r="91" spans="1:14" s="41" customFormat="1" ht="47.25" customHeight="1">
      <c r="A91" s="433" t="s">
        <v>127</v>
      </c>
      <c r="B91" s="128" t="s">
        <v>307</v>
      </c>
      <c r="C91" s="72">
        <v>6</v>
      </c>
      <c r="D91" s="74">
        <v>0</v>
      </c>
      <c r="E91" s="72">
        <v>3</v>
      </c>
      <c r="F91" s="71">
        <f t="shared" si="28"/>
        <v>0</v>
      </c>
      <c r="G91" s="71"/>
      <c r="H91" s="71"/>
      <c r="I91" s="71">
        <f t="shared" si="29"/>
        <v>0</v>
      </c>
      <c r="J91" s="73">
        <f t="shared" si="30"/>
        <v>0</v>
      </c>
    </row>
    <row r="92" spans="1:14" s="41" customFormat="1" ht="47.25" customHeight="1">
      <c r="A92" s="459"/>
      <c r="B92" s="128" t="s">
        <v>308</v>
      </c>
      <c r="C92" s="72">
        <v>1</v>
      </c>
      <c r="D92" s="74">
        <v>10800</v>
      </c>
      <c r="E92" s="72">
        <v>3</v>
      </c>
      <c r="F92" s="71">
        <f t="shared" si="28"/>
        <v>32400</v>
      </c>
      <c r="G92" s="71"/>
      <c r="H92" s="71"/>
      <c r="I92" s="71">
        <f t="shared" si="29"/>
        <v>5184</v>
      </c>
      <c r="J92" s="73">
        <f t="shared" si="30"/>
        <v>37584</v>
      </c>
    </row>
    <row r="93" spans="1:14">
      <c r="A93" s="18"/>
      <c r="B93" s="19" t="s">
        <v>78</v>
      </c>
      <c r="C93" s="20"/>
      <c r="D93" s="21"/>
      <c r="E93" s="20"/>
      <c r="F93" s="38">
        <f>SUM(F85:F92)</f>
        <v>32400</v>
      </c>
      <c r="G93" s="38">
        <f>SUM(G85:G92)</f>
        <v>0</v>
      </c>
      <c r="H93" s="38">
        <f>SUM(H85:H92)</f>
        <v>0</v>
      </c>
      <c r="I93" s="38">
        <f>SUM(I85:I92)</f>
        <v>5184</v>
      </c>
      <c r="J93" s="38">
        <f>SUM(J85:J92)</f>
        <v>37584</v>
      </c>
    </row>
    <row r="94" spans="1:14">
      <c r="A94" s="23"/>
      <c r="B94" s="28" t="s">
        <v>135</v>
      </c>
      <c r="C94" s="82"/>
      <c r="D94" s="83"/>
      <c r="E94" s="82"/>
      <c r="F94" s="83">
        <f>F93</f>
        <v>32400</v>
      </c>
      <c r="G94" s="83">
        <f>G93</f>
        <v>0</v>
      </c>
      <c r="H94" s="83">
        <f>H93</f>
        <v>0</v>
      </c>
      <c r="I94" s="83">
        <f>I93</f>
        <v>5184</v>
      </c>
      <c r="J94" s="37">
        <f>J93</f>
        <v>37584</v>
      </c>
    </row>
    <row r="95" spans="1:14">
      <c r="A95" s="23"/>
      <c r="B95" s="29"/>
      <c r="C95" s="20"/>
      <c r="D95" s="30"/>
      <c r="E95" s="20"/>
      <c r="F95" s="30"/>
      <c r="G95" s="30"/>
      <c r="H95" s="30"/>
      <c r="I95" s="30"/>
      <c r="J95" s="30"/>
    </row>
    <row r="96" spans="1:14">
      <c r="A96" s="431" t="s">
        <v>136</v>
      </c>
      <c r="B96" s="432"/>
      <c r="C96" s="7"/>
      <c r="D96" s="7"/>
      <c r="E96" s="7"/>
      <c r="F96" s="7"/>
      <c r="G96" s="7"/>
      <c r="H96" s="7"/>
      <c r="I96" s="7"/>
      <c r="J96" s="7"/>
    </row>
    <row r="97" spans="1:10">
      <c r="A97" s="78" t="s">
        <v>62</v>
      </c>
      <c r="B97" s="79" t="s">
        <v>13</v>
      </c>
      <c r="C97" s="80" t="s">
        <v>63</v>
      </c>
      <c r="D97" s="80" t="s">
        <v>64</v>
      </c>
      <c r="E97" s="80" t="s">
        <v>65</v>
      </c>
      <c r="F97" s="80" t="s">
        <v>66</v>
      </c>
      <c r="G97" s="80" t="s">
        <v>27</v>
      </c>
      <c r="H97" s="80" t="s">
        <v>68</v>
      </c>
      <c r="I97" s="80" t="s">
        <v>69</v>
      </c>
      <c r="J97" s="8" t="s">
        <v>70</v>
      </c>
    </row>
    <row r="98" spans="1:10" s="41" customFormat="1" ht="24.75">
      <c r="A98" s="434" t="s">
        <v>137</v>
      </c>
      <c r="B98" s="70" t="s">
        <v>138</v>
      </c>
      <c r="C98" s="72">
        <v>4</v>
      </c>
      <c r="D98" s="74">
        <v>5525.02</v>
      </c>
      <c r="E98" s="72">
        <v>5</v>
      </c>
      <c r="F98" s="74">
        <f>SUM(C98*D98*E98)</f>
        <v>110500.40000000001</v>
      </c>
      <c r="G98" s="74">
        <f>136.98*C98*E98</f>
        <v>2739.6</v>
      </c>
      <c r="H98" s="74">
        <f>304*C98*E98</f>
        <v>6080</v>
      </c>
      <c r="I98" s="74">
        <f>(F98+G98+H98)*16%</f>
        <v>19091.200000000004</v>
      </c>
      <c r="J98" s="81">
        <f t="shared" ref="J98:J101" si="31">I98+H98+G98+F98</f>
        <v>138411.20000000001</v>
      </c>
    </row>
    <row r="99" spans="1:10" s="41" customFormat="1">
      <c r="A99" s="435"/>
      <c r="B99" s="14" t="s">
        <v>73</v>
      </c>
      <c r="C99" s="15">
        <v>4</v>
      </c>
      <c r="D99" s="16">
        <v>59</v>
      </c>
      <c r="E99" s="15">
        <v>5</v>
      </c>
      <c r="F99" s="16"/>
      <c r="G99" s="16"/>
      <c r="H99" s="16">
        <f>E99*D99*C99</f>
        <v>1180</v>
      </c>
      <c r="I99" s="16">
        <v>0</v>
      </c>
      <c r="J99" s="17">
        <f t="shared" si="31"/>
        <v>1180</v>
      </c>
    </row>
    <row r="100" spans="1:10" s="41" customFormat="1" ht="24.75">
      <c r="A100" s="435"/>
      <c r="B100" s="70" t="s">
        <v>139</v>
      </c>
      <c r="C100" s="72">
        <v>1</v>
      </c>
      <c r="D100" s="74">
        <v>5525.02</v>
      </c>
      <c r="E100" s="72">
        <v>5</v>
      </c>
      <c r="F100" s="74">
        <f>SUM(C100*D100*E100)</f>
        <v>27625.100000000002</v>
      </c>
      <c r="G100" s="74">
        <f>136.98*C100*E100</f>
        <v>684.9</v>
      </c>
      <c r="H100" s="74">
        <f>304*C100*E100</f>
        <v>1520</v>
      </c>
      <c r="I100" s="74">
        <f>(F100+G100+H100)*16%</f>
        <v>4772.8000000000011</v>
      </c>
      <c r="J100" s="81">
        <f t="shared" si="31"/>
        <v>34602.800000000003</v>
      </c>
    </row>
    <row r="101" spans="1:10" s="41" customFormat="1">
      <c r="A101" s="435"/>
      <c r="B101" s="14" t="s">
        <v>73</v>
      </c>
      <c r="C101" s="15">
        <v>1</v>
      </c>
      <c r="D101" s="16">
        <v>59</v>
      </c>
      <c r="E101" s="15">
        <v>5</v>
      </c>
      <c r="F101" s="16"/>
      <c r="G101" s="16"/>
      <c r="H101" s="16">
        <f>E101*D101*C101</f>
        <v>295</v>
      </c>
      <c r="I101" s="16">
        <v>0</v>
      </c>
      <c r="J101" s="17">
        <f t="shared" si="31"/>
        <v>295</v>
      </c>
    </row>
    <row r="102" spans="1:10" s="41" customFormat="1">
      <c r="A102" s="435"/>
      <c r="B102" s="528" t="s">
        <v>140</v>
      </c>
      <c r="C102" s="529">
        <v>10</v>
      </c>
      <c r="D102" s="530">
        <v>6046</v>
      </c>
      <c r="E102" s="529">
        <v>1</v>
      </c>
      <c r="F102" s="530">
        <f>SUM(C102*D102*E102)</f>
        <v>60460</v>
      </c>
      <c r="G102" s="530">
        <v>0</v>
      </c>
      <c r="H102" s="530">
        <f>2355*C102</f>
        <v>23550</v>
      </c>
      <c r="I102" s="530">
        <f>968*C102</f>
        <v>9680</v>
      </c>
      <c r="J102" s="530">
        <f>I102+H102+G102+F102</f>
        <v>93690</v>
      </c>
    </row>
    <row r="103" spans="1:10" s="41" customFormat="1">
      <c r="A103" s="437"/>
      <c r="B103" s="528" t="s">
        <v>141</v>
      </c>
      <c r="C103" s="529">
        <v>10</v>
      </c>
      <c r="D103" s="530">
        <v>230</v>
      </c>
      <c r="E103" s="529">
        <v>1</v>
      </c>
      <c r="F103" s="530">
        <f>C103*D103*E103</f>
        <v>2300</v>
      </c>
      <c r="G103" s="530"/>
      <c r="H103" s="530"/>
      <c r="I103" s="530">
        <f>F103*16%</f>
        <v>368</v>
      </c>
      <c r="J103" s="530">
        <f>SUM(F103:I103)</f>
        <v>2668</v>
      </c>
    </row>
    <row r="104" spans="1:10" s="41" customFormat="1" ht="19.899999999999999" customHeight="1">
      <c r="A104" s="436"/>
      <c r="B104" s="14" t="s">
        <v>142</v>
      </c>
      <c r="C104" s="15">
        <v>10</v>
      </c>
      <c r="D104" s="16">
        <v>1500</v>
      </c>
      <c r="E104" s="15">
        <v>5</v>
      </c>
      <c r="F104" s="16">
        <f t="shared" ref="F102:F104" si="32">SUM(C104*D104*E104)</f>
        <v>75000</v>
      </c>
      <c r="G104" s="16">
        <v>0</v>
      </c>
      <c r="H104" s="16">
        <v>0</v>
      </c>
      <c r="I104" s="16">
        <f t="shared" ref="I102:I104" si="33">(F104*16%)+(G104*16%)+(H104*16%)</f>
        <v>12000</v>
      </c>
      <c r="J104" s="17">
        <f t="shared" ref="J102:J104" si="34">I104+H104+G104+F104</f>
        <v>87000</v>
      </c>
    </row>
    <row r="105" spans="1:10">
      <c r="A105" s="18"/>
      <c r="B105" s="19" t="s">
        <v>78</v>
      </c>
      <c r="C105" s="35"/>
      <c r="D105" s="36"/>
      <c r="E105" s="35"/>
      <c r="F105" s="65">
        <f>SUM(F98:F104)</f>
        <v>275885.5</v>
      </c>
      <c r="G105" s="65">
        <f>SUM(G98:G104)</f>
        <v>3424.5</v>
      </c>
      <c r="H105" s="65">
        <f t="shared" ref="H105:J105" si="35">SUM(H98:H104)</f>
        <v>32625</v>
      </c>
      <c r="I105" s="65">
        <f t="shared" si="35"/>
        <v>45912.000000000007</v>
      </c>
      <c r="J105" s="65">
        <f t="shared" si="35"/>
        <v>357847</v>
      </c>
    </row>
    <row r="106" spans="1:10" ht="25.5">
      <c r="A106" s="23"/>
      <c r="B106" s="28" t="s">
        <v>143</v>
      </c>
      <c r="C106" s="82"/>
      <c r="D106" s="83"/>
      <c r="E106" s="82"/>
      <c r="F106" s="83">
        <f>F105</f>
        <v>275885.5</v>
      </c>
      <c r="G106" s="83">
        <f>G105</f>
        <v>3424.5</v>
      </c>
      <c r="H106" s="83">
        <f>H105</f>
        <v>32625</v>
      </c>
      <c r="I106" s="83">
        <f>I105</f>
        <v>45912.000000000007</v>
      </c>
      <c r="J106" s="83">
        <f>J105</f>
        <v>357847</v>
      </c>
    </row>
    <row r="107" spans="1:10">
      <c r="A107" s="23"/>
      <c r="B107" s="24"/>
      <c r="C107" s="25"/>
      <c r="D107" s="26"/>
      <c r="E107" s="25"/>
      <c r="F107" s="26"/>
      <c r="G107" s="26"/>
      <c r="H107" s="26"/>
      <c r="I107" s="26"/>
      <c r="J107" s="26"/>
    </row>
    <row r="108" spans="1:10" ht="22.5">
      <c r="A108" s="430" t="s">
        <v>1</v>
      </c>
      <c r="B108" s="430"/>
      <c r="C108" s="430"/>
      <c r="D108" s="430"/>
      <c r="E108" s="430"/>
      <c r="F108" s="26"/>
      <c r="G108" s="26"/>
      <c r="H108" s="26"/>
      <c r="I108" s="26"/>
      <c r="J108" s="26"/>
    </row>
    <row r="109" spans="1:10">
      <c r="A109" s="39"/>
      <c r="B109" s="85"/>
      <c r="C109" s="82"/>
      <c r="D109" s="83"/>
      <c r="E109" s="86" t="s">
        <v>144</v>
      </c>
      <c r="F109" s="83">
        <f>F28</f>
        <v>3663932.7500000005</v>
      </c>
      <c r="G109" s="83">
        <f>G28</f>
        <v>89737.799999999988</v>
      </c>
      <c r="H109" s="83">
        <f>H28</f>
        <v>223098</v>
      </c>
      <c r="I109" s="83">
        <f>I28</f>
        <v>630354.96800000011</v>
      </c>
      <c r="J109" s="83">
        <f>SUM(F109:I109)</f>
        <v>4607123.5180000002</v>
      </c>
    </row>
    <row r="110" spans="1:10">
      <c r="A110" s="39"/>
      <c r="B110" s="85"/>
      <c r="C110" s="82"/>
      <c r="D110" s="83"/>
      <c r="E110" s="86" t="s">
        <v>145</v>
      </c>
      <c r="F110" s="83">
        <f>F58</f>
        <v>474140</v>
      </c>
      <c r="G110" s="83">
        <f>G58</f>
        <v>0</v>
      </c>
      <c r="H110" s="83">
        <f>H58</f>
        <v>71121</v>
      </c>
      <c r="I110" s="83">
        <f>I58</f>
        <v>87241.76</v>
      </c>
      <c r="J110" s="83">
        <f>SUM(F110:I110)</f>
        <v>632502.76</v>
      </c>
    </row>
    <row r="111" spans="1:10">
      <c r="A111" s="39"/>
      <c r="B111" s="85"/>
      <c r="C111" s="82"/>
      <c r="D111" s="83"/>
      <c r="E111" s="86" t="s">
        <v>146</v>
      </c>
      <c r="F111" s="83">
        <f>F73</f>
        <v>262440</v>
      </c>
      <c r="G111" s="83">
        <f>G73</f>
        <v>0</v>
      </c>
      <c r="H111" s="83">
        <f>H73</f>
        <v>15746.4</v>
      </c>
      <c r="I111" s="83">
        <f>I73</f>
        <v>41990.400000000009</v>
      </c>
      <c r="J111" s="83">
        <f>SUM(F111:I111)</f>
        <v>320176.80000000005</v>
      </c>
    </row>
    <row r="112" spans="1:10">
      <c r="A112" s="39"/>
      <c r="B112" s="85"/>
      <c r="C112" s="82"/>
      <c r="D112" s="83"/>
      <c r="E112" s="86" t="str">
        <f>A75</f>
        <v>TELEMARKETING</v>
      </c>
      <c r="F112" s="83">
        <f>F81</f>
        <v>0</v>
      </c>
      <c r="G112" s="83">
        <f>G81</f>
        <v>0</v>
      </c>
      <c r="H112" s="83">
        <f>H81</f>
        <v>0</v>
      </c>
      <c r="I112" s="83">
        <f>I81</f>
        <v>0</v>
      </c>
      <c r="J112" s="83">
        <f>SUM(F112:I112)</f>
        <v>0</v>
      </c>
    </row>
    <row r="113" spans="1:10">
      <c r="A113" s="39"/>
      <c r="B113" s="85"/>
      <c r="C113" s="82"/>
      <c r="D113" s="83"/>
      <c r="E113" s="86" t="s">
        <v>30</v>
      </c>
      <c r="F113" s="83">
        <f>F94</f>
        <v>32400</v>
      </c>
      <c r="G113" s="83">
        <f>G94</f>
        <v>0</v>
      </c>
      <c r="H113" s="83">
        <f>H94</f>
        <v>0</v>
      </c>
      <c r="I113" s="83">
        <f>I94</f>
        <v>5184</v>
      </c>
      <c r="J113" s="83">
        <f>SUM(F113:I113)</f>
        <v>37584</v>
      </c>
    </row>
    <row r="114" spans="1:10">
      <c r="A114" s="40"/>
      <c r="B114" s="87"/>
      <c r="C114" s="88"/>
      <c r="D114" s="89"/>
      <c r="E114" s="90" t="s">
        <v>147</v>
      </c>
      <c r="F114" s="89">
        <f>SUM(F109:F113)</f>
        <v>4432912.75</v>
      </c>
      <c r="G114" s="89">
        <f t="shared" ref="G114:I114" si="36">SUM(G109:G113)</f>
        <v>89737.799999999988</v>
      </c>
      <c r="H114" s="89">
        <f t="shared" si="36"/>
        <v>309965.40000000002</v>
      </c>
      <c r="I114" s="89">
        <f t="shared" si="36"/>
        <v>764771.12800000014</v>
      </c>
      <c r="J114" s="89">
        <f>SUM(J109:J113)</f>
        <v>5597387.0779999997</v>
      </c>
    </row>
    <row r="115" spans="1:10">
      <c r="A115" s="39"/>
      <c r="B115" s="85"/>
      <c r="C115" s="82"/>
      <c r="D115" s="83"/>
      <c r="E115" s="86" t="s">
        <v>148</v>
      </c>
      <c r="F115" s="83">
        <f>(F109+F110+F111+F112+F113)*6%</f>
        <v>265974.76500000001</v>
      </c>
      <c r="G115" s="83"/>
      <c r="H115" s="83"/>
      <c r="I115" s="83">
        <f>F115*16%</f>
        <v>42555.962400000004</v>
      </c>
      <c r="J115" s="83">
        <f>SUM(F115:I115)</f>
        <v>308530.72740000003</v>
      </c>
    </row>
    <row r="116" spans="1:10">
      <c r="A116" s="39"/>
      <c r="B116" s="85"/>
      <c r="C116" s="82"/>
      <c r="D116" s="83"/>
      <c r="E116" s="86" t="s">
        <v>149</v>
      </c>
      <c r="F116" s="83">
        <f>F106</f>
        <v>275885.5</v>
      </c>
      <c r="G116" s="83">
        <f>G106</f>
        <v>3424.5</v>
      </c>
      <c r="H116" s="83">
        <f>H106</f>
        <v>32625</v>
      </c>
      <c r="I116" s="83">
        <f>I106</f>
        <v>45912.000000000007</v>
      </c>
      <c r="J116" s="83">
        <f>SUM(F116:I116)</f>
        <v>357847</v>
      </c>
    </row>
    <row r="117" spans="1:10">
      <c r="A117" s="40"/>
      <c r="B117" s="87"/>
      <c r="C117" s="88"/>
      <c r="D117" s="89"/>
      <c r="E117" s="90" t="s">
        <v>150</v>
      </c>
      <c r="F117" s="89">
        <f>SUM(F114:F116)</f>
        <v>4974773.0149999997</v>
      </c>
      <c r="G117" s="89">
        <f>SUM(G114:G116)</f>
        <v>93162.299999999988</v>
      </c>
      <c r="H117" s="89">
        <f>SUM(H114:H116)</f>
        <v>342590.4</v>
      </c>
      <c r="I117" s="89">
        <f>SUM(I114:I116)</f>
        <v>853239.0904000001</v>
      </c>
      <c r="J117" s="89">
        <f>SUM(J114:J116)</f>
        <v>6263764.8054</v>
      </c>
    </row>
    <row r="119" spans="1:10">
      <c r="A119" s="98" t="s">
        <v>192</v>
      </c>
    </row>
    <row r="120" spans="1:10">
      <c r="A120" s="98" t="s">
        <v>151</v>
      </c>
    </row>
  </sheetData>
  <mergeCells count="28">
    <mergeCell ref="B11:J11"/>
    <mergeCell ref="A1:J5"/>
    <mergeCell ref="B7:J7"/>
    <mergeCell ref="B8:J8"/>
    <mergeCell ref="B9:J9"/>
    <mergeCell ref="B10:J10"/>
    <mergeCell ref="A49:A55"/>
    <mergeCell ref="B12:J12"/>
    <mergeCell ref="B13:J13"/>
    <mergeCell ref="F14:G14"/>
    <mergeCell ref="H14:J14"/>
    <mergeCell ref="A17:B17"/>
    <mergeCell ref="A19:A20"/>
    <mergeCell ref="A21:A25"/>
    <mergeCell ref="A31:B31"/>
    <mergeCell ref="A33:A34"/>
    <mergeCell ref="A35:A41"/>
    <mergeCell ref="A42:A48"/>
    <mergeCell ref="A91:A92"/>
    <mergeCell ref="A96:B96"/>
    <mergeCell ref="A98:A104"/>
    <mergeCell ref="A108:E108"/>
    <mergeCell ref="A61:B61"/>
    <mergeCell ref="A63:A69"/>
    <mergeCell ref="A70:A71"/>
    <mergeCell ref="A75:B75"/>
    <mergeCell ref="A83:B83"/>
    <mergeCell ref="A85:A8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49762A9CB6764CA2DA936A36DA94B8" ma:contentTypeVersion="18" ma:contentTypeDescription="Create a new document." ma:contentTypeScope="" ma:versionID="cdcb69cc893ad8914abb63b6548cb86b">
  <xsd:schema xmlns:xsd="http://www.w3.org/2001/XMLSchema" xmlns:xs="http://www.w3.org/2001/XMLSchema" xmlns:p="http://schemas.microsoft.com/office/2006/metadata/properties" xmlns:ns2="d83e72b6-047d-4780-975c-f209030693e1" xmlns:ns3="b1262a59-181d-40a9-8be7-75a522feda04" targetNamespace="http://schemas.microsoft.com/office/2006/metadata/properties" ma:root="true" ma:fieldsID="8b871b222ae465325191b06204a4fa86" ns2:_="" ns3:_="">
    <xsd:import namespace="d83e72b6-047d-4780-975c-f209030693e1"/>
    <xsd:import namespace="b1262a59-181d-40a9-8be7-75a522fed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Status" minOccurs="0"/>
                <xsd:element ref="ns2:PRUEBA" minOccurs="0"/>
                <xsd:element ref="ns2:STATUS0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e72b6-047d-4780-975c-f209030693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6bba62-55c0-4b72-84f5-6a69c49ca2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us" ma:index="19" nillable="true" ma:displayName="Status" ma:default="Cotizado" ma:format="Dropdown" ma:internalName="Status">
      <xsd:simpleType>
        <xsd:union memberTypes="dms:Text">
          <xsd:simpleType>
            <xsd:restriction base="dms:Choice">
              <xsd:enumeration value="Cotizado"/>
              <xsd:enumeration value="Confirmado"/>
              <xsd:enumeration value="En Progreso"/>
              <xsd:enumeration value="Choice 4"/>
            </xsd:restriction>
          </xsd:simpleType>
        </xsd:union>
      </xsd:simpleType>
    </xsd:element>
    <xsd:element name="PRUEBA" ma:index="20" nillable="true" ma:displayName="PRUEBA" ma:format="Dropdown" ma:internalName="PRUEBA">
      <xsd:simpleType>
        <xsd:restriction base="dms:Text">
          <xsd:maxLength value="255"/>
        </xsd:restriction>
      </xsd:simpleType>
    </xsd:element>
    <xsd:element name="STATUS0" ma:index="21" nillable="true" ma:displayName="STATUS" ma:format="Dropdown" ma:internalName="STATUS0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TIZADO"/>
                    <xsd:enumeration value="CONFIRMADO"/>
                    <xsd:enumeration value="CANCELADO"/>
                    <xsd:enumeration value="PENDIENTE"/>
                    <xsd:enumeration value="EN PROCESO"/>
                  </xsd:restriction>
                </xsd:simpleType>
              </xsd:element>
            </xsd:sequence>
          </xsd:extension>
        </xsd:complexContent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62a59-181d-40a9-8be7-75a522feda0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9996a88-778b-4876-8ed4-0705dcb82668}" ma:internalName="TaxCatchAll" ma:showField="CatchAllData" ma:web="b1262a59-181d-40a9-8be7-75a522feda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e72b6-047d-4780-975c-f209030693e1">
      <Terms xmlns="http://schemas.microsoft.com/office/infopath/2007/PartnerControls"/>
    </lcf76f155ced4ddcb4097134ff3c332f>
    <TaxCatchAll xmlns="b1262a59-181d-40a9-8be7-75a522feda04" xsi:nil="true"/>
    <STATUS0 xmlns="d83e72b6-047d-4780-975c-f209030693e1"/>
    <Status xmlns="d83e72b6-047d-4780-975c-f209030693e1">Cotizado</Status>
    <PRUEBA xmlns="d83e72b6-047d-4780-975c-f209030693e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2E251A-3F37-425A-912E-E5F556DC8A36}"/>
</file>

<file path=customXml/itemProps2.xml><?xml version="1.0" encoding="utf-8"?>
<ds:datastoreItem xmlns:ds="http://schemas.openxmlformats.org/officeDocument/2006/customXml" ds:itemID="{E3C79077-B7E5-4C82-AFA9-36DAB26AD4E6}"/>
</file>

<file path=customXml/itemProps3.xml><?xml version="1.0" encoding="utf-8"?>
<ds:datastoreItem xmlns:ds="http://schemas.openxmlformats.org/officeDocument/2006/customXml" ds:itemID="{5FC829C8-6D42-42AA-A0DB-76809F79D3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Vicky Araux</dc:creator>
  <cp:keywords/>
  <dc:description/>
  <cp:lastModifiedBy/>
  <cp:revision/>
  <dcterms:created xsi:type="dcterms:W3CDTF">2025-08-17T04:17:55Z</dcterms:created>
  <dcterms:modified xsi:type="dcterms:W3CDTF">2026-08-27T23:24:05Z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0x010100B749762A9CB6764CA2DA936A36DA94B8</vt:lpwstr>
  </property>
  <property fmtid="{D5CDD505-2E9C-101B-9397-08002B2CF9AE}" pid="3" name="MediaServiceImageTags">
    <vt:lpwstr/>
  </property>
</Properties>
</file>